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franklintn.sharepoint.com/sites/O365Grp_Engineering_Department/Shared Documents/Development Services/Surety Calculators/"/>
    </mc:Choice>
  </mc:AlternateContent>
  <xr:revisionPtr revIDLastSave="1015" documentId="8_{4F22874D-C3B7-4B65-85B4-169B2E7B0C43}" xr6:coauthVersionLast="47" xr6:coauthVersionMax="47" xr10:uidLastSave="{11208075-CD19-49BF-9DAB-DD69BFDB1E8C}"/>
  <workbookProtection workbookAlgorithmName="SHA-512" workbookHashValue="cSNUpY24kqyJJT5N4Bu0kaH8g4nkp65MfONWkNf94MwYH56zbLMMrlRzNcnRN72dFmBcV7xbHajQiWBmUmK5nQ==" workbookSaltValue="KyYyL/lI9khwnUfJLW8FcA==" workbookSpinCount="100000" lockStructure="1"/>
  <bookViews>
    <workbookView xWindow="-120" yWindow="-120" windowWidth="29040" windowHeight="15720" xr2:uid="{02904261-2A83-426B-BDF0-45425AC32DFA}"/>
  </bookViews>
  <sheets>
    <sheet name="Surety Calculations Form" sheetId="2" r:id="rId1"/>
    <sheet name="Summary Sheet" sheetId="4" r:id="rId2"/>
    <sheet name="Calcs" sheetId="5" state="hidden" r:id="rId3"/>
  </sheets>
  <externalReferences>
    <externalReference r:id="rId4"/>
  </externalReferences>
  <definedNames>
    <definedName name="_xlnm.Print_Area" localSheetId="0">'Surety Calculations Form'!$B$2:$H$197</definedName>
    <definedName name="QNTY" localSheetId="1">'[1]Surety Calculations Form'!$D$42:$D$49,'[1]Surety Calculations Form'!$D$54:$D$76,'[1]Surety Calculations Form'!$D$81:$D$85,'[1]Surety Calculations Form'!$D$90:$D$96,'[1]Surety Calculations Form'!$D$102:$D$109,'[1]Surety Calculations Form'!$D$115,'[1]Surety Calculations Form'!$D$118,'[1]Surety Calculations Form'!$D$121:$D$122,'[1]Surety Calculations Form'!$D$127:$D$133,'[1]Surety Calculations Form'!$D$138:$D$148,'[1]Surety Calculations Form'!$D$150:$D$155,'[1]Surety Calculations Form'!$D$156,'[1]Surety Calculations Form'!$D$158,'[1]Surety Calculations Form'!$D$164:$D$176,'[1]Surety Calculations Form'!$D$178</definedName>
    <definedName name="QNTY">'Surety Calculations Form'!$E$48:$E$55,'Surety Calculations Form'!$E$60:$E$81,'Surety Calculations Form'!$E$87:$E$91,'Surety Calculations Form'!$E$99:$E$106,'Surety Calculations Form'!$E$112:$E$118,'Surety Calculations Form'!$E$124,'Surety Calculations Form'!$E$127,'Surety Calculations Form'!$E$130:$E$131,'Surety Calculations Form'!$E$135:$E$142,'Surety Calculations Form'!$E$148:$E$158,'Surety Calculations Form'!$E$161:$E$167,'Surety Calculations Form'!$E$168,'Surety Calculations Form'!$E$173,'Surety Calculations Form'!$E$179:$E$195,'Surety Calculations Form'!#REF!</definedName>
    <definedName name="Quantities" localSheetId="0">'Surety Calculations Form'!$E$48:$E$55,'Surety Calculations Form'!$E$60:$E$81,'Surety Calculations Form'!$E$87:$E$91,'Surety Calculations Form'!$E$99:$E$106,'Surety Calculations Form'!$E$112:$E$118,'Surety Calculations Form'!$E$124,'Surety Calculations Form'!$E$127,'Surety Calculations Form'!$E$130:$E$131,'Surety Calculations Form'!$E$135:$E$142,'Surety Calculations Form'!$E$148:$E$158,'Surety Calculations Form'!$E$161:$E$168,'Surety Calculations Form'!$E$173,'Surety Calculations Form'!$E$179:$E$195,'Surety Calculations Form'!#REF!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6" i="4" l="1"/>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19" i="4"/>
  <c r="E220" i="4"/>
  <c r="E221" i="4"/>
  <c r="E222" i="4"/>
  <c r="E223" i="4"/>
  <c r="E224" i="4"/>
  <c r="E225" i="4"/>
  <c r="E226" i="4"/>
  <c r="E227" i="4"/>
  <c r="E228" i="4"/>
  <c r="E229" i="4"/>
  <c r="E230" i="4"/>
  <c r="E231" i="4"/>
  <c r="E232" i="4"/>
  <c r="E233" i="4"/>
  <c r="E234" i="4"/>
  <c r="E235" i="4"/>
  <c r="E236" i="4"/>
  <c r="E237" i="4"/>
  <c r="E238" i="4"/>
  <c r="E239" i="4"/>
  <c r="E240" i="4"/>
  <c r="E241" i="4"/>
  <c r="E242" i="4"/>
  <c r="E243" i="4"/>
  <c r="E244" i="4"/>
  <c r="E245" i="4"/>
  <c r="E246" i="4"/>
  <c r="E247" i="4"/>
  <c r="E248" i="4"/>
  <c r="E249" i="4"/>
  <c r="E250" i="4"/>
  <c r="E251" i="4"/>
  <c r="E252" i="4"/>
  <c r="E253" i="4"/>
  <c r="E254" i="4"/>
  <c r="E255" i="4"/>
  <c r="E256" i="4"/>
  <c r="E257" i="4"/>
  <c r="E258" i="4"/>
  <c r="E259" i="4"/>
  <c r="E260" i="4"/>
  <c r="E261" i="4"/>
  <c r="E262" i="4"/>
  <c r="E263" i="4"/>
  <c r="E264" i="4"/>
  <c r="E265" i="4"/>
  <c r="E266" i="4"/>
  <c r="E267" i="4"/>
  <c r="E268" i="4"/>
  <c r="E269" i="4"/>
  <c r="E270" i="4"/>
  <c r="E271" i="4"/>
  <c r="E272" i="4"/>
  <c r="E273" i="4"/>
  <c r="E274" i="4"/>
  <c r="E275" i="4"/>
  <c r="E276" i="4"/>
  <c r="E277" i="4"/>
  <c r="E278" i="4"/>
  <c r="E279" i="4"/>
  <c r="E280" i="4"/>
  <c r="E281" i="4"/>
  <c r="E282" i="4"/>
  <c r="E283" i="4"/>
  <c r="E284" i="4"/>
  <c r="E285" i="4"/>
  <c r="E286" i="4"/>
  <c r="E287" i="4"/>
  <c r="E288" i="4"/>
  <c r="E289" i="4"/>
  <c r="E290" i="4"/>
  <c r="E291" i="4"/>
  <c r="E292" i="4"/>
  <c r="E293" i="4"/>
  <c r="E294" i="4"/>
  <c r="E295" i="4"/>
  <c r="E296" i="4"/>
  <c r="E297" i="4"/>
  <c r="E298" i="4"/>
  <c r="E299" i="4"/>
  <c r="E300" i="4"/>
  <c r="E301" i="4"/>
  <c r="E302" i="4"/>
  <c r="E303" i="4"/>
  <c r="E304" i="4"/>
  <c r="E305" i="4"/>
  <c r="E306" i="4"/>
  <c r="E307" i="4"/>
  <c r="E308" i="4"/>
  <c r="E309" i="4"/>
  <c r="E310" i="4"/>
  <c r="E311" i="4"/>
  <c r="E312" i="4"/>
  <c r="E313" i="4"/>
  <c r="E314" i="4"/>
  <c r="E315" i="4"/>
  <c r="E316" i="4"/>
  <c r="E317" i="4"/>
  <c r="E318" i="4"/>
  <c r="E319" i="4"/>
  <c r="E320" i="4"/>
  <c r="E321" i="4"/>
  <c r="E322" i="4"/>
  <c r="E323" i="4"/>
  <c r="E324" i="4"/>
  <c r="E325" i="4"/>
  <c r="E326" i="4"/>
  <c r="E327" i="4"/>
  <c r="E328" i="4"/>
  <c r="E329" i="4"/>
  <c r="E330" i="4"/>
  <c r="E331" i="4"/>
  <c r="E332" i="4"/>
  <c r="E333" i="4"/>
  <c r="E334" i="4"/>
  <c r="E335" i="4"/>
  <c r="E336" i="4"/>
  <c r="E337" i="4"/>
  <c r="E338" i="4"/>
  <c r="E339" i="4"/>
  <c r="E340" i="4"/>
  <c r="E341" i="4"/>
  <c r="E342" i="4"/>
  <c r="E343" i="4"/>
  <c r="E344" i="4"/>
  <c r="E345" i="4"/>
  <c r="E346" i="4"/>
  <c r="E347" i="4"/>
  <c r="E348" i="4"/>
  <c r="E349" i="4"/>
  <c r="E350" i="4"/>
  <c r="A55" i="2"/>
  <c r="A48" i="2"/>
  <c r="A50" i="2"/>
  <c r="A51" i="2"/>
  <c r="A52" i="2"/>
  <c r="A53" i="2"/>
  <c r="A54" i="2"/>
  <c r="A49" i="2"/>
  <c r="A191" i="2"/>
  <c r="A192" i="2"/>
  <c r="A193" i="2"/>
  <c r="A194" i="2"/>
  <c r="A195" i="2"/>
  <c r="A190" i="2"/>
  <c r="A170" i="2"/>
  <c r="A171" i="2"/>
  <c r="A172" i="2"/>
  <c r="A173" i="2"/>
  <c r="A174" i="2"/>
  <c r="A169" i="2"/>
  <c r="A82" i="2"/>
  <c r="A56" i="2"/>
  <c r="A57" i="2"/>
  <c r="A58" i="2"/>
  <c r="A60" i="2"/>
  <c r="A61" i="2"/>
  <c r="A62" i="2"/>
  <c r="A63" i="2"/>
  <c r="A64" i="2"/>
  <c r="A65" i="2"/>
  <c r="A66" i="2"/>
  <c r="A67" i="2"/>
  <c r="A68" i="2"/>
  <c r="A69" i="2"/>
  <c r="A70" i="2"/>
  <c r="A71" i="2"/>
  <c r="A72" i="2"/>
  <c r="A73" i="2"/>
  <c r="A74" i="2"/>
  <c r="A75" i="2"/>
  <c r="A76" i="2"/>
  <c r="A77" i="2"/>
  <c r="A78" i="2"/>
  <c r="A79" i="2"/>
  <c r="A80" i="2"/>
  <c r="A81" i="2"/>
  <c r="A87" i="2"/>
  <c r="A88" i="2"/>
  <c r="A89" i="2"/>
  <c r="A90" i="2"/>
  <c r="A91" i="2"/>
  <c r="A99" i="2"/>
  <c r="A100" i="2"/>
  <c r="A101" i="2"/>
  <c r="A102" i="2"/>
  <c r="A103" i="2"/>
  <c r="A104" i="2"/>
  <c r="A105" i="2"/>
  <c r="A106" i="2"/>
  <c r="A108" i="2"/>
  <c r="A109" i="2"/>
  <c r="A110" i="2"/>
  <c r="A112" i="2"/>
  <c r="A113" i="2"/>
  <c r="A114" i="2"/>
  <c r="A115" i="2"/>
  <c r="A116" i="2"/>
  <c r="A117" i="2"/>
  <c r="A118" i="2"/>
  <c r="A120" i="2"/>
  <c r="A121" i="2"/>
  <c r="A123" i="2"/>
  <c r="A124" i="2"/>
  <c r="A125" i="2"/>
  <c r="A127" i="2"/>
  <c r="A130" i="2"/>
  <c r="A131" i="2"/>
  <c r="A132" i="2"/>
  <c r="A133" i="2"/>
  <c r="A135" i="2"/>
  <c r="A136" i="2"/>
  <c r="A137" i="2"/>
  <c r="A138" i="2"/>
  <c r="A139" i="2"/>
  <c r="A140" i="2"/>
  <c r="A141" i="2"/>
  <c r="A142" i="2"/>
  <c r="A148" i="2"/>
  <c r="A149" i="2"/>
  <c r="A150" i="2"/>
  <c r="A151" i="2"/>
  <c r="A152" i="2"/>
  <c r="A153" i="2"/>
  <c r="A154" i="2"/>
  <c r="A155" i="2"/>
  <c r="A156" i="2"/>
  <c r="A157" i="2"/>
  <c r="A159" i="2"/>
  <c r="A160" i="2"/>
  <c r="A161" i="2"/>
  <c r="A162" i="2"/>
  <c r="A163" i="2"/>
  <c r="A164" i="2"/>
  <c r="A165" i="2"/>
  <c r="A166" i="2"/>
  <c r="A167" i="2"/>
  <c r="A179" i="2"/>
  <c r="A180" i="2"/>
  <c r="A181" i="2"/>
  <c r="A182" i="2"/>
  <c r="A183" i="2"/>
  <c r="A184" i="2"/>
  <c r="A185" i="2"/>
  <c r="A186" i="2"/>
  <c r="A187" i="2"/>
  <c r="A188" i="2"/>
  <c r="E42" i="2"/>
  <c r="E43" i="2"/>
  <c r="E41" i="2"/>
  <c r="E40" i="2"/>
  <c r="C96" i="2"/>
  <c r="E39" i="2"/>
  <c r="E38" i="2"/>
  <c r="E37" i="2"/>
  <c r="B2" i="5"/>
  <c r="H102" i="2"/>
  <c r="B33" i="2"/>
  <c r="C31" i="2"/>
  <c r="B46" i="2"/>
  <c r="H183" i="2" l="1"/>
  <c r="H166" i="2"/>
  <c r="H165" i="2"/>
  <c r="H142" i="2"/>
  <c r="H141" i="2"/>
  <c r="B21" i="4"/>
  <c r="B15" i="4"/>
  <c r="B16" i="4"/>
  <c r="B17" i="4"/>
  <c r="B18" i="4"/>
  <c r="B19" i="4"/>
  <c r="B20" i="4"/>
  <c r="B14" i="4"/>
  <c r="B27" i="4" l="1"/>
  <c r="H49" i="2"/>
  <c r="H50" i="2"/>
  <c r="H51" i="2"/>
  <c r="H52" i="2"/>
  <c r="H53" i="2"/>
  <c r="H54" i="2"/>
  <c r="H48" i="2"/>
  <c r="D8" i="4"/>
  <c r="D7" i="4"/>
  <c r="D6" i="4"/>
  <c r="D5" i="4"/>
  <c r="D4" i="4"/>
  <c r="D3" i="4"/>
  <c r="D11" i="4"/>
  <c r="D9" i="4"/>
  <c r="D10" i="4"/>
  <c r="E36" i="2" l="1"/>
  <c r="H81" i="2"/>
  <c r="B24" i="2" l="1"/>
  <c r="B29" i="4" s="1"/>
  <c r="B20" i="2"/>
  <c r="B23" i="2"/>
  <c r="B28" i="4" s="1"/>
  <c r="H38" i="2" l="1"/>
  <c r="E16" i="4" s="1"/>
  <c r="H41" i="2"/>
  <c r="E19" i="4" s="1"/>
  <c r="H159" i="2"/>
  <c r="H160" i="2"/>
  <c r="H188" i="2"/>
  <c r="H187" i="2"/>
  <c r="H186" i="2"/>
  <c r="H185" i="2"/>
  <c r="H184" i="2"/>
  <c r="H182" i="2"/>
  <c r="H181" i="2"/>
  <c r="H180" i="2"/>
  <c r="H179" i="2"/>
  <c r="H167" i="2"/>
  <c r="H164" i="2"/>
  <c r="H163" i="2"/>
  <c r="H162" i="2"/>
  <c r="H161" i="2"/>
  <c r="H157" i="2"/>
  <c r="H156" i="2"/>
  <c r="H155" i="2"/>
  <c r="H154" i="2"/>
  <c r="H153" i="2"/>
  <c r="H152" i="2"/>
  <c r="H151" i="2"/>
  <c r="H150" i="2"/>
  <c r="H149" i="2"/>
  <c r="H148" i="2"/>
  <c r="H140" i="2"/>
  <c r="H139" i="2"/>
  <c r="H138" i="2"/>
  <c r="H137" i="2"/>
  <c r="H136" i="2"/>
  <c r="H135" i="2"/>
  <c r="H131" i="2"/>
  <c r="H130" i="2"/>
  <c r="H127" i="2"/>
  <c r="H124" i="2"/>
  <c r="H118" i="2"/>
  <c r="H117" i="2"/>
  <c r="H116" i="2"/>
  <c r="H115" i="2"/>
  <c r="H114" i="2"/>
  <c r="H113" i="2"/>
  <c r="H112" i="2"/>
  <c r="H106" i="2"/>
  <c r="H105" i="2"/>
  <c r="H104" i="2"/>
  <c r="H103" i="2"/>
  <c r="H101" i="2"/>
  <c r="H100" i="2"/>
  <c r="H99" i="2"/>
  <c r="H91" i="2"/>
  <c r="H90" i="2"/>
  <c r="H89" i="2"/>
  <c r="H88" i="2"/>
  <c r="H87" i="2"/>
  <c r="H80" i="2"/>
  <c r="H79" i="2"/>
  <c r="H78" i="2"/>
  <c r="H77" i="2"/>
  <c r="H76" i="2"/>
  <c r="H75" i="2"/>
  <c r="H74" i="2"/>
  <c r="H73" i="2"/>
  <c r="H72" i="2"/>
  <c r="H71" i="2"/>
  <c r="H70" i="2"/>
  <c r="H69" i="2"/>
  <c r="H68" i="2"/>
  <c r="H67" i="2"/>
  <c r="H66" i="2"/>
  <c r="H65" i="2"/>
  <c r="H64" i="2"/>
  <c r="H63" i="2"/>
  <c r="H62" i="2"/>
  <c r="H61" i="2"/>
  <c r="H60" i="2"/>
  <c r="H43" i="2"/>
  <c r="E21" i="4" s="1"/>
  <c r="H42" i="2"/>
  <c r="E20" i="4" s="1"/>
  <c r="H40" i="2"/>
  <c r="E18" i="4" s="1"/>
  <c r="H39" i="2"/>
  <c r="E17" i="4" s="1"/>
  <c r="H37" i="2"/>
  <c r="E15" i="4" s="1"/>
  <c r="H36" i="2"/>
  <c r="E14" i="4" s="1"/>
  <c r="B30" i="2"/>
  <c r="B35" i="4" s="1"/>
  <c r="B29" i="2"/>
  <c r="B34" i="4" s="1"/>
  <c r="B28" i="2"/>
  <c r="B33" i="4" s="1"/>
  <c r="B27" i="2"/>
  <c r="B32" i="4" s="1"/>
  <c r="B26" i="2"/>
  <c r="B31" i="4" s="1"/>
  <c r="B25" i="2"/>
  <c r="B30" i="4" s="1"/>
  <c r="B21" i="2"/>
  <c r="B26" i="4" s="1"/>
  <c r="H83" i="2" l="1"/>
  <c r="E26" i="2"/>
  <c r="H26" i="2" s="1"/>
  <c r="E31" i="4" s="1"/>
  <c r="E25" i="2"/>
  <c r="H25" i="2" s="1"/>
  <c r="E30" i="4" s="1"/>
  <c r="H119" i="2"/>
  <c r="A119" i="2" s="1"/>
  <c r="H107" i="2"/>
  <c r="A107" i="2" s="1"/>
  <c r="H196" i="2"/>
  <c r="H175" i="2"/>
  <c r="H132" i="2"/>
  <c r="H56" i="2"/>
  <c r="H143" i="2"/>
  <c r="H92" i="2"/>
  <c r="H108" i="2" l="1"/>
  <c r="D33" i="5" s="1" a="1"/>
  <c r="D33" i="5" s="1"/>
  <c r="E30" i="2"/>
  <c r="H120" i="2"/>
  <c r="E29" i="2"/>
  <c r="E28" i="2"/>
  <c r="E27" i="2"/>
  <c r="E22" i="2"/>
  <c r="E21" i="2"/>
  <c r="E20" i="2"/>
  <c r="F20" i="2" s="1"/>
  <c r="B110" i="5" l="1"/>
  <c r="A4" i="5" a="1"/>
  <c r="B108" i="5"/>
  <c r="B144" i="4" s="1"/>
  <c r="H144" i="4" s="1"/>
  <c r="B107" i="5"/>
  <c r="B143" i="4" s="1"/>
  <c r="H143" i="4" s="1"/>
  <c r="B106" i="5"/>
  <c r="B142" i="4" s="1"/>
  <c r="H142" i="4" s="1"/>
  <c r="B105" i="5"/>
  <c r="B141" i="4" s="1"/>
  <c r="H141" i="4" s="1"/>
  <c r="B104" i="5"/>
  <c r="B140" i="4" s="1"/>
  <c r="H140" i="4" s="1"/>
  <c r="B103" i="5"/>
  <c r="B139" i="4" s="1"/>
  <c r="H139" i="4" s="1"/>
  <c r="B102" i="5"/>
  <c r="B138" i="4" s="1"/>
  <c r="G138" i="4" s="1"/>
  <c r="E138" i="4" s="1"/>
  <c r="B101" i="5"/>
  <c r="B137" i="4" s="1"/>
  <c r="H137" i="4" s="1"/>
  <c r="B100" i="5"/>
  <c r="B136" i="4" s="1"/>
  <c r="G136" i="4" s="1"/>
  <c r="E136" i="4" s="1"/>
  <c r="B99" i="5"/>
  <c r="B135" i="4" s="1"/>
  <c r="G135" i="4" s="1"/>
  <c r="E135" i="4" s="1"/>
  <c r="B98" i="5"/>
  <c r="B134" i="4" s="1"/>
  <c r="G134" i="4" s="1"/>
  <c r="E134" i="4" s="1"/>
  <c r="B97" i="5"/>
  <c r="B133" i="4" s="1"/>
  <c r="H133" i="4" s="1"/>
  <c r="B96" i="5"/>
  <c r="B132" i="4" s="1"/>
  <c r="G132" i="4" s="1"/>
  <c r="E132" i="4" s="1"/>
  <c r="B68" i="5"/>
  <c r="B104" i="4" s="1"/>
  <c r="G104" i="4" s="1"/>
  <c r="E104" i="4" s="1"/>
  <c r="B77" i="5"/>
  <c r="B113" i="4" s="1"/>
  <c r="H113" i="4" s="1"/>
  <c r="B65" i="5"/>
  <c r="B101" i="4" s="1"/>
  <c r="H101" i="4" s="1"/>
  <c r="B27" i="5"/>
  <c r="B63" i="4" s="1"/>
  <c r="G63" i="4" s="1"/>
  <c r="E63" i="4" s="1"/>
  <c r="B84" i="5"/>
  <c r="B120" i="4" s="1"/>
  <c r="H120" i="4" s="1"/>
  <c r="B74" i="5"/>
  <c r="B110" i="4" s="1"/>
  <c r="G110" i="4" s="1"/>
  <c r="E110" i="4" s="1"/>
  <c r="B78" i="5"/>
  <c r="B114" i="4" s="1"/>
  <c r="G114" i="4" s="1"/>
  <c r="E114" i="4" s="1"/>
  <c r="B14" i="5"/>
  <c r="B50" i="4" s="1"/>
  <c r="H50" i="4" s="1"/>
  <c r="B58" i="5"/>
  <c r="B94" i="4" s="1"/>
  <c r="H94" i="4" s="1"/>
  <c r="B13" i="5"/>
  <c r="B49" i="4" s="1"/>
  <c r="G49" i="4" s="1"/>
  <c r="E49" i="4" s="1"/>
  <c r="B72" i="5"/>
  <c r="B108" i="4" s="1"/>
  <c r="G108" i="4" s="1"/>
  <c r="E108" i="4" s="1"/>
  <c r="B52" i="5"/>
  <c r="B88" i="4" s="1"/>
  <c r="H88" i="4" s="1"/>
  <c r="B80" i="5"/>
  <c r="B116" i="4" s="1"/>
  <c r="H116" i="4" s="1"/>
  <c r="B32" i="5"/>
  <c r="B68" i="4" s="1"/>
  <c r="G68" i="4" s="1"/>
  <c r="E68" i="4" s="1"/>
  <c r="B60" i="5"/>
  <c r="B96" i="4" s="1"/>
  <c r="G96" i="4" s="1"/>
  <c r="E96" i="4" s="1"/>
  <c r="B12" i="5"/>
  <c r="B48" i="4" s="1"/>
  <c r="G48" i="4" s="1"/>
  <c r="E48" i="4" s="1"/>
  <c r="B48" i="5"/>
  <c r="B84" i="4" s="1"/>
  <c r="G84" i="4" s="1"/>
  <c r="E84" i="4" s="1"/>
  <c r="B40" i="5"/>
  <c r="B76" i="4" s="1"/>
  <c r="H76" i="4" s="1"/>
  <c r="B88" i="5"/>
  <c r="B124" i="4" s="1"/>
  <c r="G124" i="4" s="1"/>
  <c r="E124" i="4" s="1"/>
  <c r="B20" i="5"/>
  <c r="B56" i="4" s="1"/>
  <c r="G56" i="4" s="1"/>
  <c r="E56" i="4" s="1"/>
  <c r="B66" i="5"/>
  <c r="B102" i="4" s="1"/>
  <c r="G102" i="4" s="1"/>
  <c r="E102" i="4" s="1"/>
  <c r="B90" i="5"/>
  <c r="B126" i="4" s="1"/>
  <c r="G126" i="4" s="1"/>
  <c r="E126" i="4" s="1"/>
  <c r="B70" i="5"/>
  <c r="B106" i="4" s="1"/>
  <c r="G106" i="4" s="1"/>
  <c r="E106" i="4" s="1"/>
  <c r="B57" i="5"/>
  <c r="B93" i="4" s="1"/>
  <c r="H93" i="4" s="1"/>
  <c r="B37" i="5"/>
  <c r="B73" i="4" s="1"/>
  <c r="H73" i="4" s="1"/>
  <c r="B50" i="5"/>
  <c r="B86" i="4" s="1"/>
  <c r="G86" i="4" s="1"/>
  <c r="E86" i="4" s="1"/>
  <c r="B39" i="5"/>
  <c r="B75" i="4" s="1"/>
  <c r="G75" i="4" s="1"/>
  <c r="E75" i="4" s="1"/>
  <c r="B35" i="5"/>
  <c r="B71" i="4" s="1"/>
  <c r="G71" i="4" s="1"/>
  <c r="E71" i="4" s="1"/>
  <c r="B30" i="5"/>
  <c r="B66" i="4" s="1"/>
  <c r="H66" i="4" s="1"/>
  <c r="B28" i="5"/>
  <c r="B64" i="4" s="1"/>
  <c r="G64" i="4" s="1"/>
  <c r="E64" i="4" s="1"/>
  <c r="B19" i="5"/>
  <c r="B55" i="4" s="1"/>
  <c r="H55" i="4" s="1"/>
  <c r="B15" i="5"/>
  <c r="B51" i="4" s="1"/>
  <c r="G51" i="4" s="1"/>
  <c r="E51" i="4" s="1"/>
  <c r="B31" i="5"/>
  <c r="B67" i="4" s="1"/>
  <c r="G67" i="4" s="1"/>
  <c r="E67" i="4" s="1"/>
  <c r="B33" i="5"/>
  <c r="B69" i="4" s="1"/>
  <c r="G69" i="4" s="1"/>
  <c r="E69" i="4" s="1"/>
  <c r="B55" i="5"/>
  <c r="B91" i="4" s="1"/>
  <c r="H91" i="4" s="1"/>
  <c r="B59" i="5"/>
  <c r="B95" i="4" s="1"/>
  <c r="H95" i="4" s="1"/>
  <c r="B51" i="5"/>
  <c r="B87" i="4" s="1"/>
  <c r="G87" i="4" s="1"/>
  <c r="E87" i="4" s="1"/>
  <c r="B73" i="5"/>
  <c r="B109" i="4" s="1"/>
  <c r="G109" i="4" s="1"/>
  <c r="E109" i="4" s="1"/>
  <c r="B75" i="5"/>
  <c r="B111" i="4" s="1"/>
  <c r="H111" i="4" s="1"/>
  <c r="B81" i="5"/>
  <c r="B117" i="4" s="1"/>
  <c r="G117" i="4" s="1"/>
  <c r="E117" i="4" s="1"/>
  <c r="B79" i="5"/>
  <c r="B115" i="4" s="1"/>
  <c r="G115" i="4" s="1"/>
  <c r="E115" i="4" s="1"/>
  <c r="B71" i="5"/>
  <c r="B107" i="4" s="1"/>
  <c r="G107" i="4" s="1"/>
  <c r="E107" i="4" s="1"/>
  <c r="B93" i="5"/>
  <c r="B129" i="4" s="1"/>
  <c r="G129" i="4" s="1"/>
  <c r="E129" i="4" s="1"/>
  <c r="B95" i="5"/>
  <c r="B131" i="4" s="1"/>
  <c r="G131" i="4" s="1"/>
  <c r="E131" i="4" s="1"/>
  <c r="B22" i="5"/>
  <c r="B58" i="4" s="1"/>
  <c r="H58" i="4" s="1"/>
  <c r="B91" i="5"/>
  <c r="B127" i="4" s="1"/>
  <c r="G127" i="4" s="1"/>
  <c r="E127" i="4" s="1"/>
  <c r="B34" i="5"/>
  <c r="B70" i="4" s="1"/>
  <c r="G70" i="4" s="1"/>
  <c r="E70" i="4" s="1"/>
  <c r="B62" i="5"/>
  <c r="B98" i="4" s="1"/>
  <c r="G98" i="4" s="1"/>
  <c r="E98" i="4" s="1"/>
  <c r="B23" i="5"/>
  <c r="B59" i="4" s="1"/>
  <c r="G59" i="4" s="1"/>
  <c r="E59" i="4" s="1"/>
  <c r="B53" i="5"/>
  <c r="B89" i="4" s="1"/>
  <c r="G89" i="4" s="1"/>
  <c r="E89" i="4" s="1"/>
  <c r="B21" i="5"/>
  <c r="B57" i="4" s="1"/>
  <c r="G57" i="4" s="1"/>
  <c r="E57" i="4" s="1"/>
  <c r="B63" i="5"/>
  <c r="B99" i="4" s="1"/>
  <c r="H99" i="4" s="1"/>
  <c r="B47" i="5"/>
  <c r="B83" i="4" s="1"/>
  <c r="H83" i="4" s="1"/>
  <c r="B54" i="5"/>
  <c r="B90" i="4" s="1"/>
  <c r="G90" i="4" s="1"/>
  <c r="E90" i="4" s="1"/>
  <c r="B61" i="5"/>
  <c r="B97" i="4" s="1"/>
  <c r="H97" i="4" s="1"/>
  <c r="B24" i="5"/>
  <c r="B60" i="4" s="1"/>
  <c r="G60" i="4" s="1"/>
  <c r="E60" i="4" s="1"/>
  <c r="B67" i="5"/>
  <c r="B103" i="4" s="1"/>
  <c r="H103" i="4" s="1"/>
  <c r="B41" i="5"/>
  <c r="B77" i="4" s="1"/>
  <c r="H77" i="4" s="1"/>
  <c r="B82" i="5"/>
  <c r="B118" i="4" s="1"/>
  <c r="H118" i="4" s="1"/>
  <c r="B16" i="5"/>
  <c r="B52" i="4" s="1"/>
  <c r="G52" i="4" s="1"/>
  <c r="E52" i="4" s="1"/>
  <c r="B45" i="5"/>
  <c r="B81" i="4" s="1"/>
  <c r="G81" i="4" s="1"/>
  <c r="E81" i="4" s="1"/>
  <c r="B87" i="5"/>
  <c r="B123" i="4" s="1"/>
  <c r="G123" i="4" s="1"/>
  <c r="E123" i="4" s="1"/>
  <c r="B42" i="5"/>
  <c r="B78" i="4" s="1"/>
  <c r="G78" i="4" s="1"/>
  <c r="E78" i="4" s="1"/>
  <c r="B83" i="5"/>
  <c r="B119" i="4" s="1"/>
  <c r="G119" i="4" s="1"/>
  <c r="E119" i="4" s="1"/>
  <c r="B36" i="5"/>
  <c r="B72" i="4" s="1"/>
  <c r="G72" i="4" s="1"/>
  <c r="E72" i="4" s="1"/>
  <c r="B43" i="5"/>
  <c r="B79" i="4" s="1"/>
  <c r="G79" i="4" s="1"/>
  <c r="E79" i="4" s="1"/>
  <c r="B64" i="5"/>
  <c r="B100" i="4" s="1"/>
  <c r="G100" i="4" s="1"/>
  <c r="E100" i="4" s="1"/>
  <c r="B56" i="5"/>
  <c r="B92" i="4" s="1"/>
  <c r="G92" i="4" s="1"/>
  <c r="E92" i="4" s="1"/>
  <c r="B29" i="5"/>
  <c r="B65" i="4" s="1"/>
  <c r="G65" i="4" s="1"/>
  <c r="E65" i="4" s="1"/>
  <c r="B44" i="5"/>
  <c r="B80" i="4" s="1"/>
  <c r="G80" i="4" s="1"/>
  <c r="E80" i="4" s="1"/>
  <c r="B85" i="5"/>
  <c r="B121" i="4" s="1"/>
  <c r="H121" i="4" s="1"/>
  <c r="B76" i="5"/>
  <c r="B112" i="4" s="1"/>
  <c r="G112" i="4" s="1"/>
  <c r="E112" i="4" s="1"/>
  <c r="B86" i="5"/>
  <c r="B122" i="4" s="1"/>
  <c r="H122" i="4" s="1"/>
  <c r="B49" i="5"/>
  <c r="B85" i="4" s="1"/>
  <c r="H85" i="4" s="1"/>
  <c r="B25" i="5"/>
  <c r="B61" i="4" s="1"/>
  <c r="G61" i="4" s="1"/>
  <c r="E61" i="4" s="1"/>
  <c r="B26" i="5"/>
  <c r="B62" i="4" s="1"/>
  <c r="H62" i="4" s="1"/>
  <c r="B18" i="5"/>
  <c r="B54" i="4" s="1"/>
  <c r="G54" i="4" s="1"/>
  <c r="E54" i="4" s="1"/>
  <c r="B69" i="5"/>
  <c r="B105" i="4" s="1"/>
  <c r="G105" i="4" s="1"/>
  <c r="E105" i="4" s="1"/>
  <c r="B46" i="5"/>
  <c r="B82" i="4" s="1"/>
  <c r="G82" i="4" s="1"/>
  <c r="E82" i="4" s="1"/>
  <c r="B17" i="5"/>
  <c r="B53" i="4" s="1"/>
  <c r="G53" i="4" s="1"/>
  <c r="E53" i="4" s="1"/>
  <c r="B38" i="5"/>
  <c r="B74" i="4" s="1"/>
  <c r="G74" i="4" s="1"/>
  <c r="E74" i="4" s="1"/>
  <c r="B89" i="5"/>
  <c r="B125" i="4" s="1"/>
  <c r="G125" i="4" s="1"/>
  <c r="E125" i="4" s="1"/>
  <c r="B92" i="5"/>
  <c r="B128" i="4" s="1"/>
  <c r="G128" i="4" s="1"/>
  <c r="E128" i="4" s="1"/>
  <c r="B94" i="5"/>
  <c r="B130" i="4" s="1"/>
  <c r="G130" i="4" s="1"/>
  <c r="E130" i="4" s="1"/>
  <c r="E24" i="2"/>
  <c r="F24" i="2" s="1"/>
  <c r="E23" i="2"/>
  <c r="F21" i="2"/>
  <c r="F27" i="2"/>
  <c r="F28" i="2"/>
  <c r="F29" i="2"/>
  <c r="F30" i="2"/>
  <c r="F22" i="2"/>
  <c r="B109" i="5" l="1"/>
  <c r="B145" i="4" s="1"/>
  <c r="G145" i="4" s="1"/>
  <c r="E145" i="4" s="1"/>
  <c r="B11" i="5"/>
  <c r="B47" i="4" s="1"/>
  <c r="H47" i="4" s="1"/>
  <c r="B8" i="5"/>
  <c r="B44" i="4" s="1"/>
  <c r="H44" i="4" s="1"/>
  <c r="B9" i="5"/>
  <c r="B45" i="4" s="1"/>
  <c r="G45" i="4" s="1"/>
  <c r="B10" i="5"/>
  <c r="B46" i="4" s="1"/>
  <c r="H46" i="4" s="1"/>
  <c r="B7" i="5"/>
  <c r="B43" i="4" s="1"/>
  <c r="G43" i="4" s="1"/>
  <c r="B5" i="5"/>
  <c r="B41" i="4" s="1"/>
  <c r="H41" i="4" s="1"/>
  <c r="B6" i="5"/>
  <c r="B42" i="4" s="1"/>
  <c r="G42" i="4" s="1"/>
  <c r="G140" i="4"/>
  <c r="E140" i="4" s="1"/>
  <c r="A4" i="5"/>
  <c r="B4" i="5" s="1"/>
  <c r="B40" i="4" s="1"/>
  <c r="H40" i="4" s="1"/>
  <c r="H138" i="4"/>
  <c r="G141" i="4"/>
  <c r="E141" i="4" s="1"/>
  <c r="G137" i="4"/>
  <c r="E137" i="4" s="1"/>
  <c r="G144" i="4"/>
  <c r="E144" i="4" s="1"/>
  <c r="H136" i="4"/>
  <c r="H135" i="4"/>
  <c r="G139" i="4"/>
  <c r="E139" i="4" s="1"/>
  <c r="G142" i="4"/>
  <c r="E142" i="4" s="1"/>
  <c r="G133" i="4"/>
  <c r="E133" i="4" s="1"/>
  <c r="H132" i="4"/>
  <c r="G143" i="4"/>
  <c r="E143" i="4" s="1"/>
  <c r="H134" i="4"/>
  <c r="H102" i="4"/>
  <c r="G94" i="4"/>
  <c r="E94" i="4" s="1"/>
  <c r="H126" i="4"/>
  <c r="G101" i="4"/>
  <c r="E101" i="4" s="1"/>
  <c r="G113" i="4"/>
  <c r="E113" i="4" s="1"/>
  <c r="G77" i="4"/>
  <c r="E77" i="4" s="1"/>
  <c r="G62" i="4"/>
  <c r="E62" i="4" s="1"/>
  <c r="G120" i="4"/>
  <c r="E120" i="4" s="1"/>
  <c r="G73" i="4"/>
  <c r="E73" i="4" s="1"/>
  <c r="H75" i="4"/>
  <c r="G103" i="4"/>
  <c r="E103" i="4" s="1"/>
  <c r="G118" i="4"/>
  <c r="E118" i="4" s="1"/>
  <c r="H117" i="4"/>
  <c r="H115" i="4"/>
  <c r="H72" i="4"/>
  <c r="H63" i="4"/>
  <c r="G99" i="4"/>
  <c r="E99" i="4" s="1"/>
  <c r="G50" i="4"/>
  <c r="E50" i="4" s="1"/>
  <c r="H104" i="4"/>
  <c r="G111" i="4"/>
  <c r="E111" i="4" s="1"/>
  <c r="H106" i="4"/>
  <c r="G83" i="4"/>
  <c r="E83" i="4" s="1"/>
  <c r="H54" i="4"/>
  <c r="H53" i="4"/>
  <c r="H130" i="4"/>
  <c r="G88" i="4"/>
  <c r="E88" i="4" s="1"/>
  <c r="H123" i="4"/>
  <c r="H128" i="4"/>
  <c r="H49" i="4"/>
  <c r="H80" i="4"/>
  <c r="H71" i="4"/>
  <c r="H81" i="4"/>
  <c r="H67" i="4"/>
  <c r="H110" i="4"/>
  <c r="G97" i="4"/>
  <c r="E97" i="4" s="1"/>
  <c r="H56" i="4"/>
  <c r="H90" i="4"/>
  <c r="G95" i="4"/>
  <c r="E95" i="4" s="1"/>
  <c r="G55" i="4"/>
  <c r="E55" i="4" s="1"/>
  <c r="H48" i="4"/>
  <c r="H124" i="4"/>
  <c r="G122" i="4"/>
  <c r="E122" i="4" s="1"/>
  <c r="H82" i="4"/>
  <c r="G85" i="4"/>
  <c r="E85" i="4" s="1"/>
  <c r="H65" i="4"/>
  <c r="G121" i="4"/>
  <c r="E121" i="4" s="1"/>
  <c r="G66" i="4"/>
  <c r="E66" i="4" s="1"/>
  <c r="H87" i="4"/>
  <c r="G116" i="4"/>
  <c r="E116" i="4" s="1"/>
  <c r="H64" i="4"/>
  <c r="H112" i="4"/>
  <c r="H108" i="4"/>
  <c r="H69" i="4"/>
  <c r="H127" i="4"/>
  <c r="H86" i="4"/>
  <c r="G93" i="4"/>
  <c r="E93" i="4" s="1"/>
  <c r="G91" i="4"/>
  <c r="E91" i="4" s="1"/>
  <c r="G76" i="4"/>
  <c r="E76" i="4" s="1"/>
  <c r="H98" i="4"/>
  <c r="G58" i="4"/>
  <c r="E58" i="4" s="1"/>
  <c r="H114" i="4"/>
  <c r="H96" i="4"/>
  <c r="H68" i="4"/>
  <c r="H51" i="4"/>
  <c r="H84" i="4"/>
  <c r="H60" i="4"/>
  <c r="H100" i="4"/>
  <c r="H89" i="4"/>
  <c r="H119" i="4"/>
  <c r="H70" i="4"/>
  <c r="H92" i="4"/>
  <c r="H59" i="4"/>
  <c r="H105" i="4"/>
  <c r="H74" i="4"/>
  <c r="H78" i="4"/>
  <c r="H125" i="4"/>
  <c r="H57" i="4"/>
  <c r="H107" i="4"/>
  <c r="H52" i="4"/>
  <c r="H129" i="4"/>
  <c r="H79" i="4"/>
  <c r="H109" i="4"/>
  <c r="H131" i="4"/>
  <c r="H61" i="4"/>
  <c r="G23" i="2"/>
  <c r="H27" i="2"/>
  <c r="E32" i="4" s="1"/>
  <c r="G28" i="2"/>
  <c r="H28" i="2" s="1"/>
  <c r="E33" i="4" s="1"/>
  <c r="G30" i="2"/>
  <c r="H30" i="2" s="1"/>
  <c r="E35" i="4" s="1"/>
  <c r="G24" i="2"/>
  <c r="H24" i="2" s="1"/>
  <c r="E29" i="4" s="1"/>
  <c r="F23" i="2"/>
  <c r="G29" i="2"/>
  <c r="H29" i="2" s="1"/>
  <c r="E34" i="4" s="1"/>
  <c r="G20" i="2"/>
  <c r="H20" i="2" s="1"/>
  <c r="E25" i="4" s="1"/>
  <c r="G21" i="2"/>
  <c r="H21" i="2" s="1"/>
  <c r="E26" i="4" s="1"/>
  <c r="G22" i="2"/>
  <c r="H22" i="2" s="1"/>
  <c r="E27" i="4" s="1"/>
  <c r="H45" i="4" l="1"/>
  <c r="E45" i="4" s="1"/>
  <c r="G46" i="4"/>
  <c r="E46" i="4" s="1"/>
  <c r="G44" i="4"/>
  <c r="E44" i="4" s="1"/>
  <c r="G47" i="4"/>
  <c r="E47" i="4" s="1"/>
  <c r="H145" i="4"/>
  <c r="H42" i="4"/>
  <c r="E42" i="4" s="1"/>
  <c r="H43" i="4"/>
  <c r="E43" i="4" s="1"/>
  <c r="G40" i="4"/>
  <c r="E40" i="4" s="1"/>
  <c r="G41" i="4"/>
  <c r="E41" i="4" s="1"/>
  <c r="H23" i="2"/>
  <c r="E28" i="4" s="1"/>
  <c r="H31" i="2"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<sst xmlns="http://schemas.openxmlformats.org/spreadsheetml/2006/main" count="340" uniqueCount="179">
  <si>
    <t>City of Franklin Approved Surety Calculator</t>
  </si>
  <si>
    <t>DEVELOPMENT:</t>
  </si>
  <si>
    <t>OWNER:</t>
  </si>
  <si>
    <t>COF # (Plat):</t>
  </si>
  <si>
    <t>APPLICANT:</t>
  </si>
  <si>
    <t>COF # (Site Plan):</t>
  </si>
  <si>
    <t>COMPANY:</t>
  </si>
  <si>
    <t>DEV. ADDRESS:</t>
  </si>
  <si>
    <t>ADDRESS:</t>
  </si>
  <si>
    <t>SECTION:</t>
  </si>
  <si>
    <t>WATER DISTRICT:</t>
  </si>
  <si>
    <t>PHONE NO:</t>
  </si>
  <si>
    <t>DISTURBED ACREAGE:</t>
  </si>
  <si>
    <t>acres</t>
  </si>
  <si>
    <t>EMAIL:</t>
  </si>
  <si>
    <r>
      <rPr>
        <b/>
        <sz val="12"/>
        <rFont val="Calibri"/>
        <family val="2"/>
      </rPr>
      <t>Site owner or Developer Certification:</t>
    </r>
    <r>
      <rPr>
        <sz val="12"/>
        <rFont val="Calibri"/>
        <family val="2"/>
      </rPr>
      <t xml:space="preserve">
I certify under penalty of law that this document and all attachments were prepared by me, or under my direction or supervision.  The submitted information is to the best of my knowledge and belief true, accurate and complete.  I am aware that there are significant penalties for submitting false information, including the possibility of fine and imprisonment.  As specified in Tennessee Code Annotated Section39-16-702(a)(4), this declaration is made under penalty of perjury.  </t>
    </r>
  </si>
  <si>
    <t>NOTE: Performance Calculations - Sureties are calculated from the Site Plan and approved during the Site Plan approval process. Sureties shall be posted prior to obtaining a building permit. Where a building permit is not expected, sureties shall be posted prior to obtaining a grading permit. If a Final Plat is approved at any time during the development process, all sureties will be transferred to said plat as a Condition of Approval.  Sureties posted should include Public Infrastructure, Erosion Control, Street Access, and all necessary repairs for work completed within the public right-of-way. Any driveway or related encroachment on City of Franklin right-of-way, including the modification, revision, or change in use of any existing driveway facilities, shall require a Street Access Surety. A 10% contingency is applied to each surety category.</t>
  </si>
  <si>
    <t>For more information regarding City of Franklin Performance Agreements, see Franklin Zoning Ordinance, Chapter 21.
(https://web.franklintn.gov/FlippingBook/FranklinZoningOrdinance/330/index.html)</t>
  </si>
  <si>
    <t>Cells highlighted in GREEN are to be filled in by the applicant. Non-highlighted cells will calculate automatically,</t>
  </si>
  <si>
    <t>SURETY SUMMARY</t>
  </si>
  <si>
    <t>SUB TOTAL</t>
  </si>
  <si>
    <r>
      <t xml:space="preserve">CONTINGENCY </t>
    </r>
    <r>
      <rPr>
        <b/>
        <vertAlign val="superscript"/>
        <sz val="12"/>
        <rFont val="Calibri"/>
        <family val="2"/>
        <scheme val="minor"/>
      </rPr>
      <t>(1)</t>
    </r>
  </si>
  <si>
    <r>
      <t>EPSC</t>
    </r>
    <r>
      <rPr>
        <b/>
        <vertAlign val="superscript"/>
        <sz val="12"/>
        <rFont val="Calibri"/>
        <family val="2"/>
        <scheme val="minor"/>
      </rPr>
      <t xml:space="preserve"> (2)</t>
    </r>
  </si>
  <si>
    <t>TOTAL</t>
  </si>
  <si>
    <t xml:space="preserve">III. PUBLIC SIDEWALK: </t>
  </si>
  <si>
    <t>--- n/a ---</t>
  </si>
  <si>
    <t>TOTAL SURETIES</t>
  </si>
  <si>
    <t>EPSC RATE:</t>
  </si>
  <si>
    <t>(1) Per City of Franklin Zoning Ordinance, section 21.2.1A: "The performance agreement shall be in the amount of 125 percent of the actual estimated cost of the listed improvements."</t>
  </si>
  <si>
    <t>EPSC TOTAL:</t>
  </si>
  <si>
    <t>INSPECTION FEES</t>
  </si>
  <si>
    <t xml:space="preserve">QUANTITY </t>
  </si>
  <si>
    <t>UNIT</t>
  </si>
  <si>
    <t>UNIT COST</t>
  </si>
  <si>
    <t xml:space="preserve">I. WATER MAIN (MIN $1,000) </t>
  </si>
  <si>
    <t>LF</t>
  </si>
  <si>
    <t>IIa. WASTEWATER: GRAVITY MAIN (Min $1,000)</t>
  </si>
  <si>
    <t>IIb. WASTEWATER: FORCE MAIN (Min $1,000)</t>
  </si>
  <si>
    <t>IIc. RECLAIMED WATER (Min $1,000)</t>
  </si>
  <si>
    <t xml:space="preserve">VIa. DRAINAGE INSPECTION - STORM PIPE </t>
  </si>
  <si>
    <t>VIb. DRAINAGE INSPECTION - DETENTION POND</t>
  </si>
  <si>
    <t>CY</t>
  </si>
  <si>
    <t>VIc. DRAINAGE INSPECTION - DITCH WORK (BASED ON 10' EQUIVALENT WIDTH)</t>
  </si>
  <si>
    <t>Include all Public, City of Franklin District Water Infrastructure. Do not include private service lines. (Unit costs based on on bid tab analysis of recent City projects, provided by the Water Management Department.)</t>
  </si>
  <si>
    <t>6" WATER MAIN</t>
  </si>
  <si>
    <t>8" WATER MAIN</t>
  </si>
  <si>
    <t>10" WATER MAIN</t>
  </si>
  <si>
    <t>12" WATER MAIN</t>
  </si>
  <si>
    <t>16" WATER MAIN</t>
  </si>
  <si>
    <t>24" WATER MAIN</t>
  </si>
  <si>
    <t>FIRE HYDRANT</t>
  </si>
  <si>
    <t>EA</t>
  </si>
  <si>
    <t>BOOSTER STATION(S)</t>
  </si>
  <si>
    <t>(PROVIDE CONTRACTOR'S ESTIMATE)</t>
  </si>
  <si>
    <t xml:space="preserve">SUBTOTAL WATER </t>
  </si>
  <si>
    <t>II. CITY SEWER</t>
  </si>
  <si>
    <t>Include all Public, City of Franklin District Sewer Infrastructure. Do not include private service lines. (Unit costs based on on bid tab analysis of recent City projects, provided by the Water Management Department.)</t>
  </si>
  <si>
    <t>8" SEWER MAIN</t>
  </si>
  <si>
    <t>10" SEWER MAIN</t>
  </si>
  <si>
    <t>12" SEWER MAIN</t>
  </si>
  <si>
    <t>15" SEWER MAIN</t>
  </si>
  <si>
    <t>18" SEWER MAIN</t>
  </si>
  <si>
    <t>24" SEWER MAIN</t>
  </si>
  <si>
    <t>30" SEWER MAIN</t>
  </si>
  <si>
    <t>4' MANHOLES</t>
  </si>
  <si>
    <t>5' MANHOLES</t>
  </si>
  <si>
    <t>4" FORCE MAIN</t>
  </si>
  <si>
    <t>6" FORCE MAIN</t>
  </si>
  <si>
    <t>8" FORCE MAIN</t>
  </si>
  <si>
    <t>10" FORCE MAIN</t>
  </si>
  <si>
    <t>12" FORCE MAIN</t>
  </si>
  <si>
    <t>16" FORCE MAIN</t>
  </si>
  <si>
    <t>24" FORCE MAIN</t>
  </si>
  <si>
    <t>4" RECLAIMED WATER</t>
  </si>
  <si>
    <t>6" RECLAIMED WATER</t>
  </si>
  <si>
    <t>8" RECLAIMED WATER</t>
  </si>
  <si>
    <t>10" RECLAIMED WATER</t>
  </si>
  <si>
    <t>12" RECLAIMED WATER</t>
  </si>
  <si>
    <t>16" RECLAIMED WATER</t>
  </si>
  <si>
    <t>PUMP STATION(S)</t>
  </si>
  <si>
    <t xml:space="preserve">SUBTOTAL SEWER </t>
  </si>
  <si>
    <t>III. PUBLIC SIDEWALK</t>
  </si>
  <si>
    <t>Include all sidewalks in public right-of-way or access easements, as required by Franklin Zoning Ordinance section 9.6. Do not include sidewalks interior to the site not in public access easements. (The provided "CONCRETE SIDEWALK" unit cost is materials-only. Where Sidewalk Fees In-Lieu have been requested and granted by the City Engineer, the cost per square foot of sidewalk shall be $93/sf (as established in the City of Franklin Municipal Code Ordinance 2022-09) in order to account for mobilization, grading, utlity relocation, etc.)</t>
  </si>
  <si>
    <t>CONCRETE SIDEWALK (4" CLASS A, 4" BASE)</t>
  </si>
  <si>
    <t>SF</t>
  </si>
  <si>
    <t>MULTI-USE PATH - CONCRETE (4" CLASS A, 4" BASE)</t>
  </si>
  <si>
    <t>MULTI-USE PATH - PERVIOUS CONCRETE (4" PERVIOUS CONCRETE, 6" BASE)</t>
  </si>
  <si>
    <t>MULTI-USE PATH - ASPHALT (1.5" SURFACE, 3" BINDER, 4" BASE)</t>
  </si>
  <si>
    <t>HANDICAP RAMP AND DETECTABLE WARNING</t>
  </si>
  <si>
    <t xml:space="preserve"> SUBTOTAL SIDEWALKS </t>
  </si>
  <si>
    <t>IV. CITY STREETS</t>
  </si>
  <si>
    <t>Include all streets within exisitng or future City of Franklin right-of-way, but DO NOT include any items within State of Tennessee right-of-way. (Do not include items along state routes; all work in State of Tennessee right-of-way must be approved by and any associated bonds posted with TDOT.)</t>
  </si>
  <si>
    <t>Unit costs based on TDOT Average Unit Prices, Jan-June 2023 and Bid Tabulation for COF Contract No. 2022-0114 Harlinsdale Farm Multi-Use Path (TDOT PIN 126630.00 / COF Project No. 2017-018).</t>
  </si>
  <si>
    <t>LOCAL AND ALLEY PAVEMENT (1.5", 3", 8")</t>
  </si>
  <si>
    <t>SY</t>
  </si>
  <si>
    <t>MAJOR AND MINOR COLLECTOR PAVEMENT (1.5", 2", 4", 8")</t>
  </si>
  <si>
    <t>MAJOR AND MINOR ARTERIAL PAVEMENT (1.5", 2", 4", 12")</t>
  </si>
  <si>
    <t>CONCRETE DRIVEWAY - RESIDENTIAL (6" CLASS A, 4" BASE)</t>
  </si>
  <si>
    <t>CONCRETE DRIVEWAY - COMMERCIAL (8" CLASS A, 4" BASE)</t>
  </si>
  <si>
    <t xml:space="preserve">CONCRETE CURB </t>
  </si>
  <si>
    <t xml:space="preserve">CONCRETE CURB AND GUTTER </t>
  </si>
  <si>
    <t>SIGNS/STRIPING/ETC</t>
  </si>
  <si>
    <t>LUMP SUM CONTINGENCY, 5% OF TOTAL</t>
  </si>
  <si>
    <t xml:space="preserve">  SUBTOTAL PUBLIC STREETS</t>
  </si>
  <si>
    <t>V. PRIVATE STREETS (INCLUDING SHARED ACCESS)</t>
  </si>
  <si>
    <t>Include all streets or drives in Public Access Easements that serve more than one property but will not be in public right-of-way. Unit costs based on TDOT Average Unit Prices, Jan-June 2023 and Bid Tabulation for COF Contract No. 2022-0114 Harlinsdale Farm Multi-Use Path (TDOT PIN 126630.00 / COF Project No. 2017-018).</t>
  </si>
  <si>
    <t>SHARED OR EMERGENCY ACCESS DRIVE</t>
  </si>
  <si>
    <t>LOCAL AND ALLEY PAVEMENT</t>
  </si>
  <si>
    <t xml:space="preserve">COLLECTOR (or HEAVY DUTY) PAVEMENT </t>
  </si>
  <si>
    <t xml:space="preserve">CONCRETE DRIVEWAY - RESIDENTIAL </t>
  </si>
  <si>
    <t xml:space="preserve">CONCRETE DRIVEWAY - COMMERCIAL </t>
  </si>
  <si>
    <t xml:space="preserve"> SUBTOTAL PRIVATE STREETS</t>
  </si>
  <si>
    <t>VI. STREET ACCESS</t>
  </si>
  <si>
    <t>VII. TEMPORARY TURNAROUNDS</t>
  </si>
  <si>
    <t>TEMPORARY CUL-DE-SAC OR SIMILAR</t>
  </si>
  <si>
    <t>VIII. TRAFFIC SIGNALS</t>
  </si>
  <si>
    <t>TRAFFIC  SIGNAL MODIFICATION</t>
  </si>
  <si>
    <t>TRAFFIC  SIGNAL INSTALLATION (NEW)</t>
  </si>
  <si>
    <t xml:space="preserve">  SUBTOTAL TRAFFIC SIGNALS </t>
  </si>
  <si>
    <t>IX.  I.T.S. ELEMENTS</t>
  </si>
  <si>
    <t>3" CONDUIT UNDER PAVEMENT OR SIDEWALK</t>
  </si>
  <si>
    <t>3" CONDUIT IN NON-PAVED AREA</t>
  </si>
  <si>
    <t>FIBEROPTIC PULL BOX</t>
  </si>
  <si>
    <t>36-STRAND SM FIBER OPTIC CABLE</t>
  </si>
  <si>
    <t>CCTV CAMERA, POLE AND CABINET</t>
  </si>
  <si>
    <t>SIGNAL CONTROLLER W/ F.O. MODEM</t>
  </si>
  <si>
    <t>SIGNAL CONTROLLER</t>
  </si>
  <si>
    <t>CISCO FIBER SWITCH IE4000/POWER SUPPLY</t>
  </si>
  <si>
    <t>SUBTOTAL ITS ELEMENTS</t>
  </si>
  <si>
    <t>X. STORMWATER DRAINAGE</t>
  </si>
  <si>
    <t>Include all substantial stormwater conveying and detaining infrastructure (storwater quantity).  For Special Items, include description and lump sum cost estimate for each line item. Unit costs based on TDOT Average Unit Prices, Jan-June 2023 and Bid Tabulation for COF Contract No. 2022-0114 Harlinsdale Farm Multi-Use Path (TDOT PIN 126630.00 / COF Project No. 2017-018).</t>
  </si>
  <si>
    <t>15" RCP CULVERT</t>
  </si>
  <si>
    <t>18" RCP CULVERT</t>
  </si>
  <si>
    <t>24" RCP CULVERT</t>
  </si>
  <si>
    <t>30" RCP CULVERT</t>
  </si>
  <si>
    <t>36" RCP CULVERT</t>
  </si>
  <si>
    <t>42" RCP CULVERT</t>
  </si>
  <si>
    <t>48" RCP CULVERT</t>
  </si>
  <si>
    <t>54" RCP CULVERT</t>
  </si>
  <si>
    <t>60" RCP CULVERT</t>
  </si>
  <si>
    <t>72" RCP CULVERT</t>
  </si>
  <si>
    <t>NON-STANDARD DRAINAGE PIPE (PROVIDE DESCRIPTION &amp; UNIT COST BELOW)</t>
  </si>
  <si>
    <t>ENDWALLS / HEADWALLS</t>
  </si>
  <si>
    <t>SINGLE INLET / JUNCTION BOX</t>
  </si>
  <si>
    <t>DOUBLE INLET</t>
  </si>
  <si>
    <t>SAFETY GRATES</t>
  </si>
  <si>
    <t>DRY POND</t>
  </si>
  <si>
    <t>WET POND</t>
  </si>
  <si>
    <t>DITCH WORK</t>
  </si>
  <si>
    <t>SPECIAL ITEMS (UNDERGROUND DETENTION, BRIDGES, BOX CULVERTS, ETC.; PROVIDE DESRIPTION &amp; COST ESTIMATE)</t>
  </si>
  <si>
    <t>SUBTOTAL STORMWATER DRAINAGE</t>
  </si>
  <si>
    <t>XI. GREEN INFRASTRUCTURE</t>
  </si>
  <si>
    <t>Green Infrastructure includes all substantial stormwater quality infrastructure. For Special Items, include description and cost estimate per line item. Unit costs partially based on Bid Tabulation for COF Contract No. 2022-0315 Bicentennial Park.</t>
  </si>
  <si>
    <t>PERMEABLE PAVEMENT/PAVERS</t>
  </si>
  <si>
    <t>BIORETENTION/RAIN GARDEN (Total Water Quality Treatment Volume)</t>
  </si>
  <si>
    <t>CF</t>
  </si>
  <si>
    <t>URBAN BIORETENTION (Total Water Quality Treatment Volume)</t>
  </si>
  <si>
    <t>URBAN BIORETENTION (Wall Surface Area)</t>
  </si>
  <si>
    <t>GRASS CHANNEL</t>
  </si>
  <si>
    <t>WATER QUALITY SWALE</t>
  </si>
  <si>
    <t>INFILTRATION TRENCH</t>
  </si>
  <si>
    <t>LEVEL SPREADER</t>
  </si>
  <si>
    <t>CONSTRUCTED WETLANDS</t>
  </si>
  <si>
    <t>SPECIAL ITEMS (WATER QUALITY UNIT, GREEN ROOF, ETC.; PROVIDE DESRIPTION &amp; COST ESTIMATE)</t>
  </si>
  <si>
    <t>SUBTOTAL GREEN INFRASTRUCTURE</t>
  </si>
  <si>
    <t>City of Franklin Approved Surety Calculator - Summary</t>
  </si>
  <si>
    <t>Conditon of Approval to be transferred to FMPC Agenda:</t>
  </si>
  <si>
    <t>Applicant shall post sureties in the following amounts:</t>
  </si>
  <si>
    <r>
      <t xml:space="preserve">NOTE: Performance Calculations - Sureties are calculated from the Site Plan and approved during the Site Plan approval process. Sureties shall be posted prior to obtaining a building permit. Where a building permit is not expected, sureties shall be posted prior to obtaining a grading permit. If a Final Plat is approved at any time during the development process, all sureties will be transferred to said plat as a Condition of Approval.  Sureties posted should include Public Infrastructure, Erosion Control, Street Access, and all necessary repairs for work completed within the public right-of-way. </t>
    </r>
    <r>
      <rPr>
        <b/>
        <i/>
        <sz val="10"/>
        <rFont val="Arial"/>
        <family val="2"/>
      </rPr>
      <t>Any driveway or related encroachment on City of Franklin right-of-way, including the modification, revision, or change in use of any existing driveway facilities, shall require a Street Access Surety.</t>
    </r>
    <r>
      <rPr>
        <i/>
        <sz val="10"/>
        <rFont val="Arial"/>
        <family val="2"/>
      </rPr>
      <t xml:space="preserve"> A 25% contingency is applied to each surety category. EPSC is based on a flat $7,500 per acre of disturbed area and is distributed proportionally across all surety categories.</t>
    </r>
  </si>
  <si>
    <t>Line Items (For Reference Only:)</t>
  </si>
  <si>
    <t>Quantity</t>
  </si>
  <si>
    <t>III. ROADWAY INPSECTION (MIN $1,000 - BASED ON 12' EQUIVALENT LANE WIDTH)</t>
  </si>
  <si>
    <t>POND OUTLET STRUCTURE</t>
  </si>
  <si>
    <t>MILL &amp; OVERLAY EXISTING PAVEMENT</t>
  </si>
  <si>
    <r>
      <t xml:space="preserve">
</t>
    </r>
    <r>
      <rPr>
        <i/>
        <sz val="12"/>
        <rFont val="Calibri"/>
        <family val="2"/>
        <scheme val="minor"/>
      </rPr>
      <t>(NOTE: Any location on an exisiting street that is to be used as a construction entrance or access point should be included in the "Street Access" surety, in order to cover any potential to damage to existing infrastructure during construction activities.)</t>
    </r>
  </si>
  <si>
    <t>NEW OR MODIFIED STREET CONNECTIONS</t>
  </si>
  <si>
    <t/>
  </si>
  <si>
    <r>
      <t xml:space="preserve">Version: </t>
    </r>
    <r>
      <rPr>
        <b/>
        <sz val="12"/>
        <color rgb="FFFF0000"/>
        <rFont val="Calibri"/>
        <family val="2"/>
        <scheme val="minor"/>
      </rPr>
      <t>2025-01</t>
    </r>
  </si>
  <si>
    <t>I. CITY WATER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</si>
</sst>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2" formatCode="_(&quot;$&quot;* #,##0_);_(&quot;$&quot;* \(#,##0\);_(&quot;$&quot;* &quot;-&quot;_);_(@_)"/>
    <numFmt numFmtId="44" formatCode="_(&quot;$&quot;* #,##0.00_);_(&quot;$&quot;* \(#,##0.00\);_(&quot;$&quot;* &quot;-&quot;??_);_(@_)"/>
    <numFmt numFmtId="164" formatCode="&quot;$&quot;#,##0"/>
    <numFmt numFmtId="165" formatCode="0.0"/>
  </numFmts>
  <fonts count="34" x14ac:knownFonts="1">
    <font>
      <sz val="11"/>
      <color theme="1"/>
      <name val="Calibri"/>
      <family val="2"/>
      <scheme val="minor"/>
    </font>
    <font>
      <sz val="11"/>
      <color theme="0"/>
      <name val="Calibri"/>
      <family val="2"/>
      <scheme val="minor"/>
    </font>
    <font>
      <sz val="10"/>
      <name val="Arial"/>
      <family val="2"/>
    </font>
    <font>
      <b/>
      <sz val="16"/>
      <name val="Calibri"/>
      <family val="2"/>
      <scheme val="minor"/>
    </font>
    <font>
      <sz val="12"/>
      <name val="Calibri"/>
      <family val="2"/>
      <scheme val="minor"/>
    </font>
    <font>
      <b/>
      <sz val="12"/>
      <name val="Calibri"/>
      <family val="2"/>
      <scheme val="minor"/>
    </font>
    <font>
      <b/>
      <sz val="12"/>
      <color rgb="FFFF0000"/>
      <name val="Calibri"/>
      <family val="2"/>
      <scheme val="minor"/>
    </font>
    <font>
      <sz val="10"/>
      <name val="Arial"/>
      <family val="2"/>
    </font>
    <font>
      <u/>
      <sz val="10"/>
      <color theme="10"/>
      <name val="Arial"/>
      <family val="2"/>
    </font>
    <font>
      <b/>
      <sz val="12"/>
      <name val="Calibri"/>
      <family val="2"/>
    </font>
    <font>
      <sz val="12"/>
      <name val="Calibri"/>
      <family val="2"/>
    </font>
    <font>
      <b/>
      <u/>
      <sz val="12"/>
      <name val="Calibri"/>
      <family val="2"/>
      <scheme val="minor"/>
    </font>
    <font>
      <u/>
      <sz val="12"/>
      <name val="Calibri"/>
      <family val="2"/>
      <scheme val="minor"/>
    </font>
    <font>
      <i/>
      <sz val="12"/>
      <name val="Calibri"/>
      <family val="2"/>
      <scheme val="minor"/>
    </font>
    <font>
      <b/>
      <i/>
      <sz val="12"/>
      <color rgb="FFFF0000"/>
      <name val="Calibri"/>
      <family val="2"/>
      <scheme val="minor"/>
    </font>
    <font>
      <sz val="11"/>
      <name val="Calibri"/>
      <family val="2"/>
      <scheme val="minor"/>
    </font>
    <font>
      <b/>
      <vertAlign val="superscript"/>
      <sz val="12"/>
      <name val="Calibri"/>
      <family val="2"/>
      <scheme val="minor"/>
    </font>
    <font>
      <b/>
      <u/>
      <sz val="14"/>
      <name val="Calibri"/>
      <family val="2"/>
      <scheme val="minor"/>
    </font>
    <font>
      <b/>
      <i/>
      <u/>
      <sz val="14"/>
      <name val="Calibri"/>
      <family val="2"/>
      <scheme val="minor"/>
    </font>
    <font>
      <b/>
      <u/>
      <sz val="11"/>
      <color theme="10"/>
      <name val="Calibri"/>
      <family val="2"/>
      <scheme val="minor"/>
    </font>
    <font>
      <b/>
      <sz val="11"/>
      <name val="Arial"/>
      <family val="2"/>
    </font>
    <font>
      <sz val="11"/>
      <name val="Arial"/>
      <family val="2"/>
    </font>
    <font>
      <i/>
      <sz val="10"/>
      <name val="Arial"/>
      <family val="2"/>
    </font>
    <font>
      <b/>
      <i/>
      <sz val="10"/>
      <name val="Arial"/>
      <family val="2"/>
    </font>
    <font>
      <i/>
      <u/>
      <sz val="12"/>
      <name val="Calibri"/>
      <family val="2"/>
      <scheme val="minor"/>
    </font>
    <font>
      <b/>
      <sz val="12"/>
      <color theme="0"/>
      <name val="Calibri"/>
      <family val="2"/>
      <scheme val="minor"/>
    </font>
    <font>
      <b/>
      <sz val="12"/>
      <color rgb="FFFF6600"/>
      <name val="Calibri"/>
      <family val="2"/>
      <scheme val="minor"/>
    </font>
    <font>
      <b/>
      <u/>
      <sz val="14"/>
      <color rgb="FFFF0000"/>
      <name val="Calibri"/>
      <family val="2"/>
      <scheme val="minor"/>
    </font>
    <font>
      <sz val="10"/>
      <name val="Arial"/>
    </font>
    <font>
      <sz val="12"/>
      <color rgb="FFFF0000"/>
      <name val="Calibri"/>
      <family val="2"/>
      <scheme val="minor"/>
    </font>
    <font>
      <sz val="8"/>
      <name val="Calibri"/>
      <family val="2"/>
      <scheme val="minor"/>
    </font>
    <font>
      <sz val="12"/>
      <color theme="0"/>
      <name val="Calibri"/>
      <family val="2"/>
      <scheme val="minor"/>
    </font>
    <font>
      <sz val="8"/>
      <color theme="0"/>
      <name val="Calibri"/>
      <family val="2"/>
      <scheme val="minor"/>
    </font>
    <font>
      <sz val="10"/>
      <color theme="0"/>
      <name val="Arial"/>
      <family val="2"/>
    </font>
  </fonts>
  <fills count="8">
    <fill>
      <patternFill patternType="none"/>
    </fill>
    <fill>
      <patternFill patternType="gray125"/>
    </fill>
    <fill>
      <patternFill patternType="solid">
        <fgColor rgb="FFFFFFCC"/>
      </patternFill>
    </fill>
    <fill>
      <patternFill patternType="solid">
        <fgColor theme="6"/>
      </patternFill>
    </fill>
    <fill>
      <patternFill patternType="solid">
        <fgColor theme="1"/>
        <bgColor indexed="64"/>
      </patternFill>
    </fill>
    <fill>
      <patternFill patternType="solid">
        <fgColor theme="0"/>
        <bgColor indexed="64"/>
      </patternFill>
    </fill>
    <fill>
      <patternFill patternType="solid">
        <fgColor theme="1" tint="0.499984740745262"/>
        <bgColor indexed="64"/>
      </patternFill>
    </fill>
    <fill>
      <patternFill patternType="solid">
        <fgColor theme="2" tint="-0.249977111117893"/>
        <bgColor indexed="64"/>
      </patternFill>
    </fill>
  </fills>
  <borders count="71">
    <border>
      <left/>
      <right/>
      <top/>
      <bottom/>
      <diagonal/>
    </border>
    <border>
      <left style="thin">
        <color rgb="FFB2B2B2"/>
      </left>
      <right style="thin">
        <color rgb="FFB2B2B2"/>
      </right>
      <top style="thin">
        <color rgb="FFB2B2B2"/>
      </top>
      <bottom style="thin">
        <color rgb="FFB2B2B2"/>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medium">
        <color indexed="64"/>
      </top>
      <bottom/>
      <diagonal/>
    </border>
    <border>
      <left/>
      <right style="thin">
        <color indexed="64"/>
      </right>
      <top/>
      <bottom/>
      <diagonal/>
    </border>
    <border>
      <left style="thin">
        <color indexed="64"/>
      </left>
      <right style="thin">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theme="1"/>
      </left>
      <right style="thin">
        <color indexed="64"/>
      </right>
      <top style="medium">
        <color theme="1"/>
      </top>
      <bottom style="medium">
        <color indexed="64"/>
      </bottom>
      <diagonal/>
    </border>
    <border>
      <left style="thin">
        <color indexed="64"/>
      </left>
      <right style="thin">
        <color indexed="64"/>
      </right>
      <top style="medium">
        <color theme="1"/>
      </top>
      <bottom style="medium">
        <color indexed="64"/>
      </bottom>
      <diagonal/>
    </border>
    <border>
      <left style="thin">
        <color indexed="64"/>
      </left>
      <right style="medium">
        <color theme="1"/>
      </right>
      <top style="medium">
        <color theme="1"/>
      </top>
      <bottom style="medium">
        <color indexed="64"/>
      </bottom>
      <diagonal/>
    </border>
    <border>
      <left style="medium">
        <color theme="1"/>
      </left>
      <right/>
      <top style="medium">
        <color indexed="64"/>
      </top>
      <bottom/>
      <diagonal/>
    </border>
    <border>
      <left/>
      <right style="medium">
        <color theme="1"/>
      </right>
      <top style="medium">
        <color indexed="64"/>
      </top>
      <bottom/>
      <diagonal/>
    </border>
    <border>
      <left style="medium">
        <color theme="1"/>
      </left>
      <right style="thin">
        <color indexed="64"/>
      </right>
      <top style="medium">
        <color indexed="64"/>
      </top>
      <bottom style="medium">
        <color indexed="64"/>
      </bottom>
      <diagonal/>
    </border>
    <border>
      <left style="thin">
        <color indexed="64"/>
      </left>
      <right style="medium">
        <color theme="1"/>
      </right>
      <top style="medium">
        <color indexed="64"/>
      </top>
      <bottom style="medium">
        <color indexed="64"/>
      </bottom>
      <diagonal/>
    </border>
    <border>
      <left style="medium">
        <color theme="1"/>
      </left>
      <right/>
      <top style="medium">
        <color indexed="64"/>
      </top>
      <bottom style="thin">
        <color indexed="64"/>
      </bottom>
      <diagonal/>
    </border>
    <border>
      <left/>
      <right style="medium">
        <color theme="1"/>
      </right>
      <top style="thin">
        <color indexed="64"/>
      </top>
      <bottom style="thin">
        <color indexed="64"/>
      </bottom>
      <diagonal/>
    </border>
    <border>
      <left style="medium">
        <color theme="1"/>
      </left>
      <right/>
      <top style="thin">
        <color indexed="64"/>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thin">
        <color indexed="64"/>
      </left>
      <right style="medium">
        <color theme="1"/>
      </right>
      <top style="thin">
        <color indexed="64"/>
      </top>
      <bottom/>
      <diagonal/>
    </border>
    <border>
      <left style="thin">
        <color indexed="64"/>
      </left>
      <right style="medium">
        <color theme="1"/>
      </right>
      <top/>
      <bottom style="thin">
        <color indexed="64"/>
      </bottom>
      <diagonal/>
    </border>
    <border>
      <left style="medium">
        <color theme="1"/>
      </left>
      <right style="thin">
        <color indexed="64"/>
      </right>
      <top style="thin">
        <color indexed="64"/>
      </top>
      <bottom/>
      <diagonal/>
    </border>
    <border>
      <left style="medium">
        <color theme="1"/>
      </left>
      <right style="thin">
        <color indexed="64"/>
      </right>
      <top/>
      <bottom style="thin">
        <color indexed="64"/>
      </bottom>
      <diagonal/>
    </border>
    <border>
      <left style="medium">
        <color theme="1"/>
      </left>
      <right/>
      <top style="thin">
        <color indexed="64"/>
      </top>
      <bottom style="double">
        <color indexed="64"/>
      </bottom>
      <diagonal/>
    </border>
    <border>
      <left style="medium">
        <color theme="1"/>
      </left>
      <right style="thin">
        <color indexed="64"/>
      </right>
      <top style="double">
        <color indexed="64"/>
      </top>
      <bottom style="thin">
        <color indexed="64"/>
      </bottom>
      <diagonal/>
    </border>
    <border>
      <left style="thin">
        <color indexed="64"/>
      </left>
      <right style="medium">
        <color theme="1"/>
      </right>
      <top style="double">
        <color indexed="64"/>
      </top>
      <bottom style="thin">
        <color indexed="64"/>
      </bottom>
      <diagonal/>
    </border>
    <border>
      <left style="medium">
        <color theme="1"/>
      </left>
      <right style="thin">
        <color indexed="64"/>
      </right>
      <top style="thin">
        <color indexed="64"/>
      </top>
      <bottom style="double">
        <color indexed="64"/>
      </bottom>
      <diagonal/>
    </border>
    <border>
      <left style="thin">
        <color indexed="64"/>
      </left>
      <right style="medium">
        <color theme="1"/>
      </right>
      <top style="thin">
        <color indexed="64"/>
      </top>
      <bottom style="double">
        <color indexed="64"/>
      </bottom>
      <diagonal/>
    </border>
    <border>
      <left style="medium">
        <color theme="1"/>
      </left>
      <right/>
      <top/>
      <bottom style="thin">
        <color indexed="64"/>
      </bottom>
      <diagonal/>
    </border>
    <border>
      <left/>
      <right style="medium">
        <color theme="1"/>
      </right>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thin">
        <color theme="0"/>
      </left>
      <right style="medium">
        <color theme="1"/>
      </right>
      <top style="medium">
        <color indexed="64"/>
      </top>
      <bottom style="thin">
        <color indexed="64"/>
      </bottom>
      <diagonal/>
    </border>
    <border>
      <left style="thin">
        <color theme="0"/>
      </left>
      <right style="medium">
        <color theme="1"/>
      </right>
      <top style="thin">
        <color indexed="64"/>
      </top>
      <bottom style="thin">
        <color indexed="64"/>
      </bottom>
      <diagonal/>
    </border>
    <border>
      <left style="thin">
        <color theme="0"/>
      </left>
      <right style="medium">
        <color theme="1"/>
      </right>
      <top style="thin">
        <color indexed="64"/>
      </top>
      <bottom style="medium">
        <color indexed="64"/>
      </bottom>
      <diagonal/>
    </border>
    <border>
      <left style="thin">
        <color theme="0"/>
      </left>
      <right style="thin">
        <color indexed="64"/>
      </right>
      <top style="thin">
        <color theme="0"/>
      </top>
      <bottom style="thin">
        <color indexed="64"/>
      </bottom>
      <diagonal/>
    </border>
    <border>
      <left style="thin">
        <color theme="0"/>
      </left>
      <right/>
      <top style="thin">
        <color indexed="64"/>
      </top>
      <bottom style="double">
        <color indexed="64"/>
      </bottom>
      <diagonal/>
    </border>
    <border>
      <left style="thin">
        <color indexed="64"/>
      </left>
      <right style="thin">
        <color theme="0"/>
      </right>
      <top style="thin">
        <color theme="0"/>
      </top>
      <bottom style="thin">
        <color indexed="64"/>
      </bottom>
      <diagonal/>
    </border>
    <border>
      <left style="thin">
        <color indexed="64"/>
      </left>
      <right style="medium">
        <color theme="1"/>
      </right>
      <top style="thin">
        <color theme="0"/>
      </top>
      <bottom style="thin">
        <color indexed="64"/>
      </bottom>
      <diagonal/>
    </border>
    <border>
      <left style="thin">
        <color indexed="64"/>
      </left>
      <right style="thin">
        <color indexed="64"/>
      </right>
      <top style="thin">
        <color theme="0"/>
      </top>
      <bottom style="thin">
        <color indexed="64"/>
      </bottom>
      <diagonal/>
    </border>
    <border>
      <left/>
      <right style="thin">
        <color theme="0"/>
      </right>
      <top style="thin">
        <color indexed="64"/>
      </top>
      <bottom style="double">
        <color indexed="64"/>
      </bottom>
      <diagonal/>
    </border>
    <border>
      <left style="medium">
        <color theme="1"/>
      </left>
      <right/>
      <top style="thin">
        <color theme="0"/>
      </top>
      <bottom/>
      <diagonal/>
    </border>
    <border>
      <left/>
      <right/>
      <top style="thin">
        <color theme="0"/>
      </top>
      <bottom/>
      <diagonal/>
    </border>
    <border>
      <left/>
      <right style="medium">
        <color theme="1"/>
      </right>
      <top style="thin">
        <color theme="0"/>
      </top>
      <bottom/>
      <diagonal/>
    </border>
    <border>
      <left/>
      <right style="thin">
        <color indexed="64"/>
      </right>
      <top style="thin">
        <color theme="0"/>
      </top>
      <bottom/>
      <diagonal/>
    </border>
    <border>
      <left/>
      <right style="thin">
        <color indexed="64"/>
      </right>
      <top style="thin">
        <color theme="0"/>
      </top>
      <bottom style="medium">
        <color indexed="64"/>
      </bottom>
      <diagonal/>
    </border>
    <border>
      <left style="medium">
        <color theme="1"/>
      </left>
      <right style="thin">
        <color theme="0"/>
      </right>
      <top style="thin">
        <color theme="0"/>
      </top>
      <bottom/>
      <diagonal/>
    </border>
    <border>
      <left style="medium">
        <color theme="1"/>
      </left>
      <right style="thin">
        <color theme="0"/>
      </right>
      <top/>
      <bottom/>
      <diagonal/>
    </border>
    <border>
      <left style="medium">
        <color theme="1"/>
      </left>
      <right style="thin">
        <color theme="0"/>
      </right>
      <top/>
      <bottom style="medium">
        <color indexed="64"/>
      </bottom>
      <diagonal/>
    </border>
    <border>
      <left style="thin">
        <color theme="0"/>
      </left>
      <right style="thin">
        <color indexed="64"/>
      </right>
      <top style="thin">
        <color theme="0"/>
      </top>
      <bottom style="medium">
        <color indexed="64"/>
      </bottom>
      <diagonal/>
    </border>
    <border>
      <left style="thin">
        <color indexed="64"/>
      </left>
      <right style="thin">
        <color indexed="64"/>
      </right>
      <top style="thin">
        <color theme="0"/>
      </top>
      <bottom style="thin">
        <color theme="0"/>
      </bottom>
      <diagonal/>
    </border>
    <border>
      <left style="thin">
        <color indexed="64"/>
      </left>
      <right/>
      <top/>
      <bottom/>
      <diagonal/>
    </border>
    <border>
      <left style="thin">
        <color indexed="64"/>
      </left>
      <right/>
      <top style="thin">
        <color indexed="64"/>
      </top>
      <bottom style="medium">
        <color indexed="64"/>
      </bottom>
      <diagonal/>
    </border>
    <border>
      <left/>
      <right style="medium">
        <color theme="1"/>
      </right>
      <top style="thin">
        <color indexed="64"/>
      </top>
      <bottom style="medium">
        <color indexed="64"/>
      </bottom>
      <diagonal/>
    </border>
    <border>
      <left/>
      <right style="medium">
        <color theme="1"/>
      </right>
      <top style="thin">
        <color indexed="64"/>
      </top>
      <bottom/>
      <diagonal/>
    </border>
    <border>
      <left style="medium">
        <color theme="1"/>
      </left>
      <right/>
      <top style="thin">
        <color indexed="64"/>
      </top>
      <bottom/>
      <diagonal/>
    </border>
  </borders>
  <cellStyleXfs count="12">
    <xf numFmtId="0" fontId="0" fillId="0" borderId="0"/>
    <xf numFmtId="0" fontId="1" fillId="3" borderId="0" applyNumberFormat="0" applyBorder="0" applyAlignment="0" applyProtection="0"/>
    <xf numFmtId="0" fontId="2" fillId="0" borderId="0"/>
    <xf numFmtId="0" fontId="7" fillId="2" borderId="1" applyNumberFormat="0" applyFont="0" applyAlignment="0" applyProtection="0"/>
    <xf numFmtId="0" fontId="8" fillId="0" borderId="0" applyNumberForma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2" borderId="1" applyNumberFormat="0" applyFont="0" applyAlignment="0" applyProtection="0"/>
    <xf numFmtId="0" fontId="2" fillId="2" borderId="1" applyNumberFormat="0" applyFont="0" applyAlignment="0" applyProtection="0"/>
    <xf numFmtId="0" fontId="28" fillId="0" borderId="0"/>
  </cellStyleXfs>
  <cellXfs count="256">
    <xf numFmtId="0" fontId="0" fillId="0" borderId="0" xfId="0"/>
    <xf numFmtId="164" fontId="11" fillId="0" borderId="5" xfId="5" applyNumberFormat="1" applyFont="1" applyFill="1" applyBorder="1" applyAlignment="1">
      <alignment horizontal="center" vertical="center"/>
    </xf>
    <xf numFmtId="164" fontId="4" fillId="0" borderId="5" xfId="5" applyNumberFormat="1" applyFont="1" applyFill="1" applyBorder="1" applyAlignment="1">
      <alignment horizontal="center" vertical="center"/>
    </xf>
    <xf numFmtId="44" fontId="20" fillId="0" borderId="5" xfId="2" applyNumberFormat="1" applyFont="1" applyFill="1" applyBorder="1" applyAlignment="1">
      <alignment horizontal="center" wrapText="1"/>
    </xf>
    <xf numFmtId="0" fontId="5" fillId="0" borderId="5" xfId="2" applyFont="1" applyFill="1" applyBorder="1" applyAlignment="1">
      <alignment horizontal="right" vertical="center" shrinkToFit="1"/>
    </xf>
    <xf numFmtId="0" fontId="5" fillId="0" borderId="5" xfId="2" applyFont="1" applyFill="1" applyBorder="1" applyAlignment="1">
      <alignment horizontal="right" vertical="center"/>
    </xf>
    <xf numFmtId="0" fontId="4" fillId="0" borderId="0" xfId="2" applyFont="1" applyFill="1" applyBorder="1"/>
    <xf numFmtId="0" fontId="5" fillId="0" borderId="0" xfId="2" applyFont="1" applyFill="1" applyBorder="1" applyAlignment="1">
      <alignment shrinkToFit="1"/>
    </xf>
    <xf numFmtId="0" fontId="4" fillId="0" borderId="0" xfId="2" applyFont="1" applyFill="1" applyBorder="1" applyAlignment="1">
      <alignment vertical="center"/>
    </xf>
    <xf numFmtId="0" fontId="2" fillId="0" borderId="0" xfId="2" applyFill="1" applyBorder="1" applyAlignment="1">
      <alignment vertical="center"/>
    </xf>
    <xf numFmtId="0" fontId="2" fillId="0" borderId="0" xfId="2" applyFill="1" applyBorder="1"/>
    <xf numFmtId="0" fontId="4" fillId="0" borderId="0" xfId="2" applyFont="1" applyFill="1" applyBorder="1" applyAlignment="1">
      <alignment vertical="center" shrinkToFit="1"/>
    </xf>
    <xf numFmtId="0" fontId="4" fillId="0" borderId="0" xfId="2" applyFont="1" applyFill="1" applyBorder="1" applyAlignment="1">
      <alignment horizontal="center"/>
    </xf>
    <xf numFmtId="0" fontId="20" fillId="0" borderId="6" xfId="2" applyFont="1" applyFill="1" applyBorder="1" applyAlignment="1">
      <alignment horizontal="left" vertical="center"/>
    </xf>
    <xf numFmtId="0" fontId="21" fillId="0" borderId="0" xfId="2" applyNumberFormat="1" applyFont="1" applyFill="1" applyBorder="1" applyAlignment="1">
      <alignment horizontal="left" vertical="center" indent="2"/>
    </xf>
    <xf numFmtId="0" fontId="4" fillId="0" borderId="0" xfId="2" applyFont="1" applyFill="1" applyBorder="1" applyAlignment="1">
      <alignment horizontal="left" indent="2"/>
    </xf>
    <xf numFmtId="0" fontId="4" fillId="0" borderId="0" xfId="2" applyFont="1" applyFill="1" applyBorder="1" applyAlignment="1">
      <alignment horizontal="left"/>
    </xf>
    <xf numFmtId="0" fontId="29" fillId="0" borderId="0" xfId="2" applyFont="1" applyFill="1" applyBorder="1" applyAlignment="1">
      <alignment vertical="center"/>
    </xf>
    <xf numFmtId="0" fontId="29" fillId="0" borderId="0" xfId="2" applyFont="1" applyFill="1" applyBorder="1"/>
    <xf numFmtId="0" fontId="4" fillId="0" borderId="5" xfId="2" applyFont="1" applyFill="1" applyBorder="1" applyAlignment="1">
      <alignment horizontal="center" vertical="center"/>
    </xf>
    <xf numFmtId="165" fontId="4" fillId="0" borderId="5" xfId="3" applyNumberFormat="1" applyFont="1" applyFill="1" applyBorder="1" applyAlignment="1" applyProtection="1">
      <alignment horizontal="left" shrinkToFit="1"/>
      <protection locked="0"/>
    </xf>
    <xf numFmtId="0" fontId="4" fillId="0" borderId="4" xfId="2" applyFont="1" applyFill="1" applyBorder="1" applyAlignment="1">
      <alignment horizontal="left" shrinkToFit="1"/>
    </xf>
    <xf numFmtId="0" fontId="13" fillId="0" borderId="6" xfId="2" applyFont="1" applyFill="1" applyBorder="1" applyAlignment="1">
      <alignment horizontal="center" vertical="center"/>
    </xf>
    <xf numFmtId="164" fontId="5" fillId="0" borderId="33" xfId="2" applyNumberFormat="1" applyFont="1" applyFill="1" applyBorder="1" applyAlignment="1">
      <alignment horizontal="center" vertical="center"/>
    </xf>
    <xf numFmtId="42" fontId="4" fillId="0" borderId="5" xfId="5" applyNumberFormat="1" applyFont="1" applyFill="1" applyBorder="1" applyAlignment="1" applyProtection="1">
      <alignment horizontal="center" vertical="center"/>
    </xf>
    <xf numFmtId="42" fontId="4" fillId="0" borderId="32" xfId="5" applyNumberFormat="1" applyFont="1" applyFill="1" applyBorder="1" applyAlignment="1" applyProtection="1">
      <alignment horizontal="center" vertical="center"/>
    </xf>
    <xf numFmtId="0" fontId="13" fillId="0" borderId="30" xfId="2" applyFont="1" applyFill="1" applyBorder="1" applyAlignment="1">
      <alignment vertical="center"/>
    </xf>
    <xf numFmtId="42" fontId="4" fillId="0" borderId="34" xfId="5" applyNumberFormat="1" applyFont="1" applyFill="1" applyBorder="1" applyAlignment="1" applyProtection="1">
      <alignment horizontal="center" vertical="center"/>
    </xf>
    <xf numFmtId="4" fontId="11" fillId="0" borderId="5" xfId="2" applyNumberFormat="1" applyFont="1" applyFill="1" applyBorder="1" applyAlignment="1">
      <alignment horizontal="center" vertical="center"/>
    </xf>
    <xf numFmtId="0" fontId="11" fillId="0" borderId="5" xfId="2" applyFont="1" applyFill="1" applyBorder="1" applyAlignment="1">
      <alignment horizontal="center" vertical="center"/>
    </xf>
    <xf numFmtId="164" fontId="11" fillId="0" borderId="32" xfId="5" applyNumberFormat="1" applyFont="1" applyFill="1" applyBorder="1" applyAlignment="1" applyProtection="1">
      <alignment horizontal="center" vertical="center"/>
    </xf>
    <xf numFmtId="4" fontId="4" fillId="0" borderId="5" xfId="5" applyNumberFormat="1" applyFont="1" applyFill="1" applyBorder="1" applyAlignment="1" applyProtection="1">
      <alignment horizontal="center" vertical="center" wrapText="1"/>
    </xf>
    <xf numFmtId="0" fontId="4" fillId="0" borderId="5" xfId="2" applyFont="1" applyFill="1" applyBorder="1" applyAlignment="1">
      <alignment horizontal="center" vertical="center" wrapText="1"/>
    </xf>
    <xf numFmtId="44" fontId="4" fillId="0" borderId="5" xfId="5" applyNumberFormat="1" applyFont="1" applyFill="1" applyBorder="1" applyAlignment="1" applyProtection="1">
      <alignment horizontal="center" vertical="center"/>
    </xf>
    <xf numFmtId="4" fontId="4" fillId="0" borderId="5" xfId="2" applyNumberFormat="1" applyFont="1" applyFill="1" applyBorder="1" applyAlignment="1">
      <alignment horizontal="center" vertical="center" wrapText="1"/>
    </xf>
    <xf numFmtId="4" fontId="11" fillId="0" borderId="5" xfId="2" applyNumberFormat="1" applyFont="1" applyFill="1" applyBorder="1" applyAlignment="1">
      <alignment horizontal="center"/>
    </xf>
    <xf numFmtId="0" fontId="11" fillId="0" borderId="5" xfId="2" applyFont="1" applyFill="1" applyBorder="1" applyAlignment="1">
      <alignment horizontal="center"/>
    </xf>
    <xf numFmtId="164" fontId="11" fillId="0" borderId="32" xfId="5" applyNumberFormat="1" applyFont="1" applyFill="1" applyBorder="1" applyAlignment="1" applyProtection="1">
      <alignment horizontal="center"/>
    </xf>
    <xf numFmtId="4" fontId="4" fillId="0" borderId="5" xfId="3" applyNumberFormat="1" applyFont="1" applyFill="1" applyBorder="1" applyAlignment="1" applyProtection="1">
      <alignment horizontal="center" vertical="center"/>
      <protection locked="0"/>
    </xf>
    <xf numFmtId="42" fontId="4" fillId="0" borderId="32" xfId="5" applyNumberFormat="1" applyFont="1" applyFill="1" applyBorder="1" applyAlignment="1" applyProtection="1">
      <alignment horizontal="center" vertical="center"/>
      <protection locked="0"/>
    </xf>
    <xf numFmtId="42" fontId="15" fillId="0" borderId="39" xfId="1" applyNumberFormat="1" applyFont="1" applyFill="1" applyBorder="1" applyAlignment="1" applyProtection="1">
      <alignment horizontal="center" vertical="center"/>
    </xf>
    <xf numFmtId="6" fontId="4" fillId="0" borderId="5" xfId="2" applyNumberFormat="1" applyFont="1" applyFill="1" applyBorder="1" applyAlignment="1">
      <alignment horizontal="center" vertical="center"/>
    </xf>
    <xf numFmtId="4" fontId="4" fillId="0" borderId="6" xfId="3" applyNumberFormat="1" applyFont="1" applyFill="1" applyBorder="1" applyAlignment="1" applyProtection="1">
      <alignment horizontal="center" vertical="center"/>
      <protection locked="0"/>
    </xf>
    <xf numFmtId="0" fontId="4" fillId="0" borderId="6" xfId="2" applyFont="1" applyFill="1" applyBorder="1" applyAlignment="1">
      <alignment horizontal="center" vertical="center"/>
    </xf>
    <xf numFmtId="6" fontId="4" fillId="0" borderId="6" xfId="2" applyNumberFormat="1" applyFont="1" applyFill="1" applyBorder="1" applyAlignment="1">
      <alignment horizontal="center" vertical="center"/>
    </xf>
    <xf numFmtId="42" fontId="4" fillId="0" borderId="33" xfId="5" applyNumberFormat="1" applyFont="1" applyFill="1" applyBorder="1" applyAlignment="1" applyProtection="1">
      <alignment horizontal="center" vertical="center"/>
    </xf>
    <xf numFmtId="164" fontId="4" fillId="0" borderId="5" xfId="3" applyNumberFormat="1" applyFont="1" applyFill="1" applyBorder="1" applyAlignment="1" applyProtection="1">
      <alignment horizontal="center" vertical="center"/>
      <protection locked="0"/>
    </xf>
    <xf numFmtId="4" fontId="4" fillId="0" borderId="13" xfId="3" applyNumberFormat="1" applyFont="1" applyFill="1" applyBorder="1" applyAlignment="1" applyProtection="1">
      <alignment horizontal="center" vertical="center"/>
      <protection locked="0"/>
    </xf>
    <xf numFmtId="0" fontId="4" fillId="0" borderId="13" xfId="2" applyFont="1" applyFill="1" applyBorder="1" applyAlignment="1">
      <alignment horizontal="center" vertical="center"/>
    </xf>
    <xf numFmtId="164" fontId="4" fillId="0" borderId="13" xfId="2" applyNumberFormat="1" applyFont="1" applyFill="1" applyBorder="1" applyAlignment="1" applyProtection="1">
      <alignment horizontal="center" vertical="center"/>
      <protection locked="0"/>
    </xf>
    <xf numFmtId="42" fontId="4" fillId="0" borderId="41" xfId="5" applyNumberFormat="1" applyFont="1" applyFill="1" applyBorder="1" applyAlignment="1" applyProtection="1">
      <alignment horizontal="center" vertical="center"/>
    </xf>
    <xf numFmtId="4" fontId="4" fillId="0" borderId="7" xfId="3" applyNumberFormat="1" applyFont="1" applyFill="1" applyBorder="1" applyAlignment="1" applyProtection="1">
      <alignment horizontal="center" vertical="center"/>
      <protection locked="0"/>
    </xf>
    <xf numFmtId="0" fontId="4" fillId="0" borderId="7" xfId="2" applyFont="1" applyFill="1" applyBorder="1" applyAlignment="1">
      <alignment horizontal="center" vertical="center"/>
    </xf>
    <xf numFmtId="6" fontId="4" fillId="0" borderId="7" xfId="2" applyNumberFormat="1" applyFont="1" applyFill="1" applyBorder="1" applyAlignment="1">
      <alignment horizontal="center" vertical="center"/>
    </xf>
    <xf numFmtId="6" fontId="4" fillId="0" borderId="13" xfId="2" applyNumberFormat="1" applyFont="1" applyFill="1" applyBorder="1" applyAlignment="1">
      <alignment horizontal="center" vertical="center"/>
    </xf>
    <xf numFmtId="42" fontId="4" fillId="0" borderId="33" xfId="5" applyNumberFormat="1" applyFont="1" applyFill="1" applyBorder="1" applyAlignment="1" applyProtection="1">
      <alignment horizontal="center" vertical="center"/>
      <protection locked="0"/>
    </xf>
    <xf numFmtId="0" fontId="3" fillId="0" borderId="0" xfId="2" applyFont="1" applyFill="1" applyBorder="1" applyAlignment="1">
      <alignment horizontal="center" vertical="center" wrapText="1"/>
    </xf>
    <xf numFmtId="0" fontId="4" fillId="0" borderId="0" xfId="3" applyFont="1" applyFill="1" applyBorder="1" applyAlignment="1">
      <alignment horizontal="left" vertical="center" shrinkToFit="1"/>
    </xf>
    <xf numFmtId="164" fontId="11" fillId="0" borderId="0" xfId="5" applyNumberFormat="1" applyFont="1" applyFill="1" applyBorder="1" applyAlignment="1">
      <alignment horizontal="center" vertical="center"/>
    </xf>
    <xf numFmtId="164" fontId="4" fillId="0" borderId="0" xfId="5" applyNumberFormat="1" applyFont="1" applyFill="1" applyBorder="1" applyAlignment="1">
      <alignment horizontal="center" vertical="center"/>
    </xf>
    <xf numFmtId="0" fontId="20" fillId="0" borderId="0" xfId="2" applyFont="1" applyFill="1" applyBorder="1" applyAlignment="1">
      <alignment horizontal="left" vertical="center" wrapText="1"/>
    </xf>
    <xf numFmtId="44" fontId="20" fillId="0" borderId="0" xfId="2" applyNumberFormat="1" applyFont="1" applyFill="1" applyBorder="1" applyAlignment="1">
      <alignment horizontal="center" wrapText="1"/>
    </xf>
    <xf numFmtId="0" fontId="21" fillId="0" borderId="0" xfId="5" applyNumberFormat="1" applyFont="1" applyFill="1" applyBorder="1" applyAlignment="1">
      <alignment horizontal="left" vertical="top" indent="2"/>
    </xf>
    <xf numFmtId="0" fontId="22" fillId="0" borderId="0" xfId="5" applyNumberFormat="1" applyFont="1" applyFill="1" applyBorder="1" applyAlignment="1">
      <alignment horizontal="left" vertical="center" wrapText="1"/>
    </xf>
    <xf numFmtId="0" fontId="20" fillId="0" borderId="0" xfId="2" applyFont="1" applyFill="1" applyBorder="1" applyAlignment="1">
      <alignment horizontal="left" vertical="center"/>
    </xf>
    <xf numFmtId="0" fontId="4" fillId="5" borderId="0" xfId="2" applyFont="1" applyFill="1" applyBorder="1"/>
    <xf numFmtId="0" fontId="31" fillId="5" borderId="0" xfId="2" applyFont="1" applyFill="1" applyBorder="1" applyAlignment="1">
      <alignment vertical="center"/>
    </xf>
    <xf numFmtId="0" fontId="31" fillId="5" borderId="0" xfId="2" applyFont="1" applyFill="1" applyBorder="1"/>
    <xf numFmtId="0" fontId="25" fillId="5" borderId="0" xfId="2" applyFont="1" applyFill="1" applyBorder="1" applyAlignment="1">
      <alignment shrinkToFit="1"/>
    </xf>
    <xf numFmtId="0" fontId="25" fillId="5" borderId="0" xfId="2" applyFont="1" applyFill="1" applyBorder="1" applyAlignment="1">
      <alignment horizontal="left" vertical="center" indent="5" shrinkToFit="1"/>
    </xf>
    <xf numFmtId="0" fontId="31" fillId="5" borderId="0" xfId="2" applyFont="1" applyFill="1" applyBorder="1" applyAlignment="1">
      <alignment horizontal="left" vertical="center" indent="5"/>
    </xf>
    <xf numFmtId="0" fontId="25" fillId="5" borderId="0" xfId="2" applyFont="1" applyFill="1" applyBorder="1" applyAlignment="1">
      <alignment horizontal="left" vertical="center" shrinkToFit="1"/>
    </xf>
    <xf numFmtId="0" fontId="32" fillId="5" borderId="0" xfId="2" applyFont="1" applyFill="1" applyBorder="1" applyAlignment="1">
      <alignment vertical="center"/>
    </xf>
    <xf numFmtId="0" fontId="32" fillId="5" borderId="0" xfId="2" applyFont="1" applyFill="1" applyBorder="1" applyAlignment="1"/>
    <xf numFmtId="0" fontId="31" fillId="5" borderId="0" xfId="2" applyFont="1" applyFill="1" applyBorder="1" applyAlignment="1">
      <alignment vertical="center" wrapText="1"/>
    </xf>
    <xf numFmtId="0" fontId="31" fillId="5" borderId="0" xfId="2" applyFont="1" applyFill="1" applyBorder="1" applyAlignment="1"/>
    <xf numFmtId="0" fontId="4" fillId="6" borderId="0" xfId="2" applyFont="1" applyFill="1" applyBorder="1" applyAlignment="1">
      <alignment vertical="center"/>
    </xf>
    <xf numFmtId="0" fontId="31" fillId="6" borderId="0" xfId="2" applyFont="1" applyFill="1" applyBorder="1"/>
    <xf numFmtId="0" fontId="4" fillId="6" borderId="0" xfId="2" applyFont="1" applyFill="1" applyBorder="1"/>
    <xf numFmtId="0" fontId="5" fillId="6" borderId="0" xfId="2" applyFont="1" applyFill="1" applyBorder="1" applyAlignment="1">
      <alignment shrinkToFit="1"/>
    </xf>
    <xf numFmtId="0" fontId="5" fillId="6" borderId="0" xfId="2" applyFont="1" applyFill="1" applyBorder="1" applyAlignment="1">
      <alignment horizontal="left" vertical="center" indent="5" shrinkToFit="1"/>
    </xf>
    <xf numFmtId="0" fontId="4" fillId="6" borderId="0" xfId="2" applyFont="1" applyFill="1" applyBorder="1" applyAlignment="1">
      <alignment horizontal="left" vertical="center" indent="5"/>
    </xf>
    <xf numFmtId="0" fontId="5" fillId="6" borderId="0" xfId="2" applyFont="1" applyFill="1" applyBorder="1" applyAlignment="1">
      <alignment horizontal="left" vertical="center" shrinkToFit="1"/>
    </xf>
    <xf numFmtId="0" fontId="30" fillId="6" borderId="0" xfId="2" applyFont="1" applyFill="1" applyBorder="1" applyAlignment="1">
      <alignment vertical="center"/>
    </xf>
    <xf numFmtId="0" fontId="4" fillId="6" borderId="0" xfId="2" applyFont="1" applyFill="1" applyBorder="1" applyAlignment="1">
      <alignment vertical="center" wrapText="1"/>
    </xf>
    <xf numFmtId="0" fontId="30" fillId="6" borderId="0" xfId="2" applyFont="1" applyFill="1" applyBorder="1" applyAlignment="1"/>
    <xf numFmtId="0" fontId="4" fillId="6" borderId="0" xfId="2" applyFont="1" applyFill="1" applyBorder="1" applyAlignment="1"/>
    <xf numFmtId="4" fontId="4" fillId="6" borderId="0" xfId="2" applyNumberFormat="1" applyFont="1" applyFill="1" applyBorder="1"/>
    <xf numFmtId="4" fontId="4" fillId="5" borderId="0" xfId="2" applyNumberFormat="1" applyFont="1" applyFill="1" applyBorder="1"/>
    <xf numFmtId="0" fontId="24" fillId="0" borderId="0" xfId="2" applyFont="1" applyFill="1" applyBorder="1" applyAlignment="1">
      <alignment horizontal="center" vertical="center"/>
    </xf>
    <xf numFmtId="0" fontId="4" fillId="0" borderId="0" xfId="2" applyFont="1" applyFill="1" applyBorder="1" applyAlignment="1">
      <alignment horizontal="center" vertical="center"/>
    </xf>
    <xf numFmtId="0" fontId="4" fillId="7" borderId="0" xfId="2" applyFont="1" applyFill="1" applyBorder="1"/>
    <xf numFmtId="0" fontId="31" fillId="7" borderId="0" xfId="2" applyFont="1" applyFill="1" applyBorder="1"/>
    <xf numFmtId="0" fontId="25" fillId="7" borderId="0" xfId="2" applyFont="1" applyFill="1" applyBorder="1" applyAlignment="1">
      <alignment shrinkToFit="1"/>
    </xf>
    <xf numFmtId="0" fontId="5" fillId="7" borderId="0" xfId="2" applyFont="1" applyFill="1" applyBorder="1" applyAlignment="1">
      <alignment shrinkToFit="1"/>
    </xf>
    <xf numFmtId="0" fontId="31" fillId="7" borderId="0" xfId="2" applyFont="1" applyFill="1" applyBorder="1" applyAlignment="1">
      <alignment vertical="center"/>
    </xf>
    <xf numFmtId="0" fontId="4" fillId="7" borderId="0" xfId="2" applyFont="1" applyFill="1" applyBorder="1" applyAlignment="1">
      <alignment vertical="center"/>
    </xf>
    <xf numFmtId="0" fontId="33" fillId="7" borderId="0" xfId="2" applyFont="1" applyFill="1" applyBorder="1" applyAlignment="1">
      <alignment vertical="center"/>
    </xf>
    <xf numFmtId="0" fontId="2" fillId="7" borderId="0" xfId="2" applyFill="1" applyBorder="1" applyAlignment="1">
      <alignment vertical="center"/>
    </xf>
    <xf numFmtId="0" fontId="33" fillId="7" borderId="0" xfId="2" applyFont="1" applyFill="1" applyBorder="1"/>
    <xf numFmtId="0" fontId="2" fillId="7" borderId="0" xfId="2" applyFill="1" applyBorder="1"/>
    <xf numFmtId="0" fontId="31" fillId="7" borderId="0" xfId="2" applyFont="1" applyFill="1" applyBorder="1" applyAlignment="1">
      <alignment vertical="center" shrinkToFit="1"/>
    </xf>
    <xf numFmtId="0" fontId="4" fillId="7" borderId="0" xfId="2" applyFont="1" applyFill="1" applyBorder="1" applyAlignment="1">
      <alignment vertical="center" shrinkToFit="1"/>
    </xf>
    <xf numFmtId="0" fontId="5" fillId="0" borderId="47" xfId="2" applyFont="1" applyFill="1" applyBorder="1" applyAlignment="1">
      <alignment horizontal="left" vertical="center" indent="5" shrinkToFit="1"/>
    </xf>
    <xf numFmtId="0" fontId="5" fillId="0" borderId="48" xfId="2" applyFont="1" applyFill="1" applyBorder="1" applyAlignment="1">
      <alignment horizontal="left" vertical="center" indent="5" shrinkToFit="1"/>
    </xf>
    <xf numFmtId="0" fontId="5" fillId="0" borderId="49" xfId="2" applyFont="1" applyFill="1" applyBorder="1" applyAlignment="1">
      <alignment horizontal="left" vertical="center" indent="5" shrinkToFit="1"/>
    </xf>
    <xf numFmtId="0" fontId="25" fillId="0" borderId="48" xfId="2" applyFont="1" applyFill="1" applyBorder="1" applyAlignment="1">
      <alignment horizontal="left" vertical="top" indent="5" shrinkToFit="1"/>
    </xf>
    <xf numFmtId="0" fontId="12" fillId="0" borderId="50" xfId="2" applyFont="1" applyFill="1" applyBorder="1" applyAlignment="1"/>
    <xf numFmtId="0" fontId="12" fillId="0" borderId="52" xfId="2" applyFont="1" applyFill="1" applyBorder="1" applyAlignment="1"/>
    <xf numFmtId="0" fontId="12" fillId="0" borderId="52" xfId="2" applyFont="1" applyFill="1" applyBorder="1" applyAlignment="1">
      <alignment vertical="center"/>
    </xf>
    <xf numFmtId="0" fontId="12" fillId="0" borderId="50" xfId="2" applyFont="1" applyFill="1" applyBorder="1" applyAlignment="1">
      <alignment vertical="center"/>
    </xf>
    <xf numFmtId="0" fontId="5" fillId="0" borderId="59" xfId="2" applyFont="1" applyFill="1" applyBorder="1" applyAlignment="1">
      <alignment horizontal="right" shrinkToFit="1"/>
    </xf>
    <xf numFmtId="0" fontId="5" fillId="0" borderId="60" xfId="2" applyFont="1" applyFill="1" applyBorder="1" applyAlignment="1">
      <alignment horizontal="right" shrinkToFit="1"/>
    </xf>
    <xf numFmtId="0" fontId="5" fillId="0" borderId="64" xfId="2" applyFont="1" applyFill="1" applyBorder="1" applyAlignment="1">
      <alignment horizontal="right"/>
    </xf>
    <xf numFmtId="0" fontId="5" fillId="0" borderId="65" xfId="2" applyFont="1" applyFill="1" applyBorder="1" applyAlignment="1">
      <alignment horizontal="right" shrinkToFit="1"/>
    </xf>
    <xf numFmtId="0" fontId="5" fillId="0" borderId="65" xfId="2" applyFont="1" applyFill="1" applyBorder="1" applyAlignment="1">
      <alignment horizontal="right"/>
    </xf>
    <xf numFmtId="0" fontId="12" fillId="0" borderId="54" xfId="2" applyFont="1" applyFill="1" applyBorder="1" applyAlignment="1"/>
    <xf numFmtId="0" fontId="12" fillId="0" borderId="54" xfId="2" applyFont="1" applyFill="1" applyBorder="1" applyAlignment="1">
      <alignment horizontal="center"/>
    </xf>
    <xf numFmtId="0" fontId="4" fillId="0" borderId="61" xfId="2" applyFont="1" applyFill="1" applyBorder="1" applyAlignment="1">
      <alignment horizontal="center"/>
    </xf>
    <xf numFmtId="0" fontId="4" fillId="0" borderId="62" xfId="2" applyFont="1" applyFill="1" applyBorder="1" applyAlignment="1">
      <alignment horizontal="center"/>
    </xf>
    <xf numFmtId="0" fontId="4" fillId="0" borderId="63" xfId="2" applyFont="1" applyFill="1" applyBorder="1" applyAlignment="1">
      <alignment horizontal="center"/>
    </xf>
    <xf numFmtId="0" fontId="14" fillId="0" borderId="51" xfId="2" applyFont="1" applyFill="1" applyBorder="1" applyAlignment="1">
      <alignment horizontal="right" vertical="center"/>
    </xf>
    <xf numFmtId="0" fontId="14" fillId="0" borderId="19" xfId="2" applyFont="1" applyFill="1" applyBorder="1" applyAlignment="1">
      <alignment horizontal="right" vertical="center"/>
    </xf>
    <xf numFmtId="0" fontId="14" fillId="0" borderId="20" xfId="2" applyFont="1" applyFill="1" applyBorder="1" applyAlignment="1">
      <alignment horizontal="right" vertical="center"/>
    </xf>
    <xf numFmtId="0" fontId="4" fillId="0" borderId="37" xfId="2" applyFont="1" applyFill="1" applyBorder="1" applyAlignment="1">
      <alignment horizontal="left" vertical="center"/>
    </xf>
    <xf numFmtId="0" fontId="4" fillId="0" borderId="19" xfId="2" applyFont="1" applyFill="1" applyBorder="1" applyAlignment="1">
      <alignment horizontal="left" vertical="center"/>
    </xf>
    <xf numFmtId="0" fontId="4" fillId="0" borderId="55" xfId="2" applyFont="1" applyFill="1" applyBorder="1" applyAlignment="1">
      <alignment horizontal="left" vertical="center"/>
    </xf>
    <xf numFmtId="9" fontId="4" fillId="0" borderId="51" xfId="6" applyFont="1" applyFill="1" applyBorder="1" applyAlignment="1" applyProtection="1">
      <alignment horizontal="right" vertical="center"/>
    </xf>
    <xf numFmtId="9" fontId="4" fillId="0" borderId="19" xfId="6" applyFont="1" applyFill="1" applyBorder="1" applyAlignment="1" applyProtection="1">
      <alignment horizontal="right" vertical="center"/>
    </xf>
    <xf numFmtId="9" fontId="4" fillId="0" borderId="20" xfId="6" applyFont="1" applyFill="1" applyBorder="1" applyAlignment="1" applyProtection="1">
      <alignment horizontal="right" vertical="center"/>
    </xf>
    <xf numFmtId="0" fontId="4" fillId="0" borderId="19" xfId="2" applyFont="1" applyFill="1" applyBorder="1" applyAlignment="1">
      <alignment horizontal="right" vertical="center"/>
    </xf>
    <xf numFmtId="0" fontId="4" fillId="0" borderId="20" xfId="2" applyFont="1" applyFill="1" applyBorder="1" applyAlignment="1">
      <alignment horizontal="right" vertical="center"/>
    </xf>
    <xf numFmtId="0" fontId="4" fillId="0" borderId="4" xfId="10" applyFont="1" applyFill="1" applyBorder="1" applyAlignment="1" applyProtection="1">
      <alignment horizontal="left" shrinkToFit="1"/>
      <protection locked="0"/>
    </xf>
    <xf numFmtId="0" fontId="4" fillId="0" borderId="3" xfId="10" applyFont="1" applyFill="1" applyBorder="1" applyAlignment="1" applyProtection="1">
      <alignment horizontal="left" shrinkToFit="1"/>
      <protection locked="0"/>
    </xf>
    <xf numFmtId="0" fontId="4" fillId="0" borderId="66" xfId="10" applyFont="1" applyFill="1" applyBorder="1" applyAlignment="1" applyProtection="1">
      <alignment horizontal="left" shrinkToFit="1"/>
      <protection locked="0"/>
    </xf>
    <xf numFmtId="0" fontId="4" fillId="0" borderId="10" xfId="10" applyFont="1" applyFill="1" applyBorder="1" applyAlignment="1" applyProtection="1">
      <alignment horizontal="left" shrinkToFit="1"/>
      <protection locked="0"/>
    </xf>
    <xf numFmtId="0" fontId="4" fillId="0" borderId="29" xfId="10" applyFont="1" applyFill="1" applyBorder="1" applyAlignment="1" applyProtection="1">
      <alignment horizontal="left" shrinkToFit="1"/>
      <protection locked="0"/>
    </xf>
    <xf numFmtId="0" fontId="4" fillId="0" borderId="31" xfId="2" applyFont="1" applyFill="1" applyBorder="1" applyAlignment="1">
      <alignment vertical="center"/>
    </xf>
    <xf numFmtId="0" fontId="4" fillId="0" borderId="5" xfId="2" applyFont="1" applyFill="1" applyBorder="1" applyAlignment="1">
      <alignment vertical="center"/>
    </xf>
    <xf numFmtId="0" fontId="4" fillId="0" borderId="4" xfId="2" applyFont="1" applyFill="1" applyBorder="1" applyAlignment="1">
      <alignment vertical="center"/>
    </xf>
    <xf numFmtId="0" fontId="5" fillId="0" borderId="38" xfId="2" applyFont="1" applyFill="1" applyBorder="1" applyAlignment="1">
      <alignment horizontal="right" vertical="center" shrinkToFit="1"/>
    </xf>
    <xf numFmtId="0" fontId="5" fillId="0" borderId="14" xfId="2" applyFont="1" applyFill="1" applyBorder="1" applyAlignment="1">
      <alignment horizontal="right" vertical="center" shrinkToFit="1"/>
    </xf>
    <xf numFmtId="0" fontId="17" fillId="0" borderId="31" xfId="2" applyFont="1" applyFill="1" applyBorder="1" applyAlignment="1">
      <alignment vertical="top" wrapText="1"/>
    </xf>
    <xf numFmtId="0" fontId="13" fillId="0" borderId="6" xfId="2" applyFont="1" applyFill="1" applyBorder="1" applyAlignment="1">
      <alignment horizontal="left" vertical="top" wrapText="1" indent="1"/>
    </xf>
    <xf numFmtId="0" fontId="13" fillId="0" borderId="5" xfId="2" applyFont="1" applyFill="1" applyBorder="1" applyAlignment="1">
      <alignment horizontal="left" vertical="top" wrapText="1" indent="1"/>
    </xf>
    <xf numFmtId="0" fontId="13" fillId="0" borderId="32" xfId="2" applyFont="1" applyFill="1" applyBorder="1" applyAlignment="1">
      <alignment horizontal="left" vertical="top" wrapText="1" indent="1"/>
    </xf>
    <xf numFmtId="0" fontId="4" fillId="0" borderId="31" xfId="2" applyFont="1" applyFill="1" applyBorder="1" applyAlignment="1" applyProtection="1">
      <alignment vertical="center"/>
      <protection locked="0"/>
    </xf>
    <xf numFmtId="0" fontId="4" fillId="0" borderId="5" xfId="2" applyFont="1" applyFill="1" applyBorder="1" applyAlignment="1" applyProtection="1">
      <alignment vertical="center"/>
      <protection locked="0"/>
    </xf>
    <xf numFmtId="0" fontId="4" fillId="0" borderId="31" xfId="2" applyFont="1" applyFill="1" applyBorder="1" applyAlignment="1">
      <alignment horizontal="left" vertical="center"/>
    </xf>
    <xf numFmtId="0" fontId="4" fillId="0" borderId="5" xfId="2" applyFont="1" applyFill="1" applyBorder="1" applyAlignment="1">
      <alignment horizontal="left" vertical="center"/>
    </xf>
    <xf numFmtId="0" fontId="4" fillId="0" borderId="35" xfId="2" applyFont="1" applyFill="1" applyBorder="1" applyAlignment="1">
      <alignment horizontal="left" vertical="center"/>
    </xf>
    <xf numFmtId="0" fontId="4" fillId="0" borderId="6" xfId="2" applyFont="1" applyFill="1" applyBorder="1" applyAlignment="1">
      <alignment horizontal="left" vertical="center"/>
    </xf>
    <xf numFmtId="0" fontId="4" fillId="0" borderId="31" xfId="2" applyFont="1" applyFill="1" applyBorder="1" applyAlignment="1">
      <alignment vertical="center" wrapText="1"/>
    </xf>
    <xf numFmtId="0" fontId="4" fillId="4" borderId="31" xfId="2" applyFont="1" applyFill="1" applyBorder="1" applyAlignment="1">
      <alignment horizontal="center" vertical="center"/>
    </xf>
    <xf numFmtId="0" fontId="4" fillId="4" borderId="5" xfId="2" applyFont="1" applyFill="1" applyBorder="1" applyAlignment="1">
      <alignment horizontal="center" vertical="center"/>
    </xf>
    <xf numFmtId="0" fontId="4" fillId="4" borderId="32" xfId="2" applyFont="1" applyFill="1" applyBorder="1" applyAlignment="1">
      <alignment horizontal="center" vertical="center"/>
    </xf>
    <xf numFmtId="0" fontId="17" fillId="0" borderId="31" xfId="2" applyFont="1" applyFill="1" applyBorder="1" applyAlignment="1">
      <alignment vertical="center" wrapText="1"/>
    </xf>
    <xf numFmtId="0" fontId="17" fillId="0" borderId="5" xfId="2" applyFont="1" applyFill="1" applyBorder="1" applyAlignment="1">
      <alignment vertical="center"/>
    </xf>
    <xf numFmtId="0" fontId="4" fillId="0" borderId="30" xfId="2" applyFont="1" applyFill="1" applyBorder="1" applyAlignment="1">
      <alignment vertical="center"/>
    </xf>
    <xf numFmtId="0" fontId="4" fillId="0" borderId="2" xfId="2" applyFont="1" applyFill="1" applyBorder="1" applyAlignment="1">
      <alignment vertical="center"/>
    </xf>
    <xf numFmtId="0" fontId="4" fillId="0" borderId="3" xfId="2" applyFont="1" applyFill="1" applyBorder="1" applyAlignment="1">
      <alignment vertical="center"/>
    </xf>
    <xf numFmtId="0" fontId="17" fillId="0" borderId="31" xfId="2" applyFont="1" applyFill="1" applyBorder="1" applyAlignment="1">
      <alignment vertical="center"/>
    </xf>
    <xf numFmtId="4" fontId="11" fillId="0" borderId="6" xfId="2" applyNumberFormat="1" applyFont="1" applyFill="1" applyBorder="1" applyAlignment="1">
      <alignment horizontal="center"/>
    </xf>
    <xf numFmtId="4" fontId="11" fillId="0" borderId="7" xfId="2" applyNumberFormat="1" applyFont="1" applyFill="1" applyBorder="1" applyAlignment="1">
      <alignment horizontal="center"/>
    </xf>
    <xf numFmtId="0" fontId="11" fillId="0" borderId="6" xfId="2" applyFont="1" applyFill="1" applyBorder="1" applyAlignment="1">
      <alignment horizontal="center"/>
    </xf>
    <xf numFmtId="0" fontId="11" fillId="0" borderId="7" xfId="2" applyFont="1" applyFill="1" applyBorder="1" applyAlignment="1">
      <alignment horizontal="center"/>
    </xf>
    <xf numFmtId="164" fontId="11" fillId="0" borderId="33" xfId="5" applyNumberFormat="1" applyFont="1" applyFill="1" applyBorder="1" applyAlignment="1" applyProtection="1">
      <alignment horizontal="center"/>
    </xf>
    <xf numFmtId="164" fontId="11" fillId="0" borderId="34" xfId="5" applyNumberFormat="1" applyFont="1" applyFill="1" applyBorder="1" applyAlignment="1" applyProtection="1">
      <alignment horizontal="center"/>
    </xf>
    <xf numFmtId="0" fontId="4" fillId="0" borderId="5" xfId="2" applyFont="1" applyFill="1" applyBorder="1" applyAlignment="1">
      <alignment vertical="center" wrapText="1"/>
    </xf>
    <xf numFmtId="0" fontId="13" fillId="0" borderId="33" xfId="2" applyFont="1" applyFill="1" applyBorder="1" applyAlignment="1">
      <alignment horizontal="left" vertical="top" wrapText="1" indent="1"/>
    </xf>
    <xf numFmtId="0" fontId="8" fillId="0" borderId="54" xfId="4" applyFill="1" applyBorder="1" applyAlignment="1">
      <alignment horizontal="left" vertical="center" indent="1"/>
    </xf>
    <xf numFmtId="0" fontId="8" fillId="0" borderId="53" xfId="4" applyFill="1" applyBorder="1" applyAlignment="1">
      <alignment horizontal="left" vertical="center" indent="1"/>
    </xf>
    <xf numFmtId="49" fontId="8" fillId="0" borderId="67" xfId="4" applyNumberFormat="1" applyFill="1" applyBorder="1" applyAlignment="1" applyProtection="1">
      <alignment horizontal="left" shrinkToFit="1"/>
      <protection locked="0"/>
    </xf>
    <xf numFmtId="49" fontId="8" fillId="0" borderId="68" xfId="4" applyNumberFormat="1" applyFill="1" applyBorder="1" applyAlignment="1" applyProtection="1">
      <alignment horizontal="left" shrinkToFit="1"/>
      <protection locked="0"/>
    </xf>
    <xf numFmtId="0" fontId="19" fillId="0" borderId="30" xfId="4" applyFont="1" applyFill="1" applyBorder="1" applyAlignment="1">
      <alignment horizontal="left" vertical="center" wrapText="1" indent="15" shrinkToFit="1"/>
    </xf>
    <xf numFmtId="0" fontId="19" fillId="0" borderId="2" xfId="4" applyFont="1" applyFill="1" applyBorder="1" applyAlignment="1">
      <alignment horizontal="left" vertical="center" wrapText="1" indent="15" shrinkToFit="1"/>
    </xf>
    <xf numFmtId="0" fontId="4" fillId="0" borderId="28" xfId="2" applyFont="1" applyFill="1" applyBorder="1" applyAlignment="1">
      <alignment horizontal="left" vertical="center" wrapText="1" indent="15" shrinkToFit="1"/>
    </xf>
    <xf numFmtId="0" fontId="4" fillId="0" borderId="15" xfId="2" applyFont="1" applyFill="1" applyBorder="1" applyAlignment="1">
      <alignment horizontal="left" vertical="center" wrapText="1" indent="15" shrinkToFit="1"/>
    </xf>
    <xf numFmtId="0" fontId="5" fillId="0" borderId="30" xfId="2" applyFont="1" applyFill="1" applyBorder="1" applyAlignment="1">
      <alignment horizontal="left" vertical="center" wrapText="1" indent="15"/>
    </xf>
    <xf numFmtId="0" fontId="5" fillId="0" borderId="2" xfId="2" applyFont="1" applyFill="1" applyBorder="1" applyAlignment="1">
      <alignment horizontal="left" vertical="center" wrapText="1" indent="15"/>
    </xf>
    <xf numFmtId="0" fontId="4" fillId="4" borderId="26" xfId="2" applyFont="1" applyFill="1" applyBorder="1" applyAlignment="1">
      <alignment horizontal="center" vertical="center"/>
    </xf>
    <xf numFmtId="0" fontId="4" fillId="4" borderId="11" xfId="2" applyFont="1" applyFill="1" applyBorder="1" applyAlignment="1">
      <alignment horizontal="center" vertical="center"/>
    </xf>
    <xf numFmtId="0" fontId="4" fillId="4" borderId="27" xfId="2" applyFont="1" applyFill="1" applyBorder="1" applyAlignment="1">
      <alignment horizontal="center" vertical="center"/>
    </xf>
    <xf numFmtId="0" fontId="5" fillId="0" borderId="30" xfId="2" applyFont="1" applyFill="1" applyBorder="1" applyAlignment="1">
      <alignment horizontal="left" vertical="top" wrapText="1" indent="5"/>
    </xf>
    <xf numFmtId="0" fontId="5" fillId="0" borderId="2" xfId="2" applyFont="1" applyFill="1" applyBorder="1" applyAlignment="1">
      <alignment horizontal="left" vertical="top" wrapText="1" indent="5"/>
    </xf>
    <xf numFmtId="0" fontId="13" fillId="0" borderId="16" xfId="2" applyFont="1" applyFill="1" applyBorder="1" applyAlignment="1">
      <alignment horizontal="left" vertical="top" wrapText="1" indent="1"/>
    </xf>
    <xf numFmtId="0" fontId="13" fillId="0" borderId="17" xfId="2" applyFont="1" applyFill="1" applyBorder="1" applyAlignment="1">
      <alignment horizontal="left" vertical="top" wrapText="1" indent="1"/>
    </xf>
    <xf numFmtId="0" fontId="13" fillId="0" borderId="69" xfId="2" applyFont="1" applyFill="1" applyBorder="1" applyAlignment="1">
      <alignment horizontal="left" vertical="top" wrapText="1" indent="1"/>
    </xf>
    <xf numFmtId="0" fontId="27" fillId="0" borderId="70" xfId="2" applyFont="1" applyFill="1" applyBorder="1" applyAlignment="1">
      <alignment vertical="top" wrapText="1"/>
    </xf>
    <xf numFmtId="0" fontId="27" fillId="0" borderId="17" xfId="2" applyFont="1" applyFill="1" applyBorder="1" applyAlignment="1">
      <alignment vertical="top" wrapText="1"/>
    </xf>
    <xf numFmtId="0" fontId="27" fillId="0" borderId="42" xfId="2" applyFont="1" applyFill="1" applyBorder="1" applyAlignment="1">
      <alignment vertical="top" wrapText="1"/>
    </xf>
    <xf numFmtId="0" fontId="27" fillId="0" borderId="12" xfId="2" applyFont="1" applyFill="1" applyBorder="1" applyAlignment="1">
      <alignment vertical="top" wrapText="1"/>
    </xf>
    <xf numFmtId="0" fontId="17" fillId="0" borderId="70" xfId="2" applyFont="1" applyFill="1" applyBorder="1" applyAlignment="1">
      <alignment vertical="top"/>
    </xf>
    <xf numFmtId="0" fontId="17" fillId="0" borderId="17" xfId="2" applyFont="1" applyFill="1" applyBorder="1" applyAlignment="1">
      <alignment vertical="top"/>
    </xf>
    <xf numFmtId="0" fontId="17" fillId="0" borderId="42" xfId="2" applyFont="1" applyFill="1" applyBorder="1" applyAlignment="1">
      <alignment vertical="top"/>
    </xf>
    <xf numFmtId="0" fontId="17" fillId="0" borderId="12" xfId="2" applyFont="1" applyFill="1" applyBorder="1" applyAlignment="1">
      <alignment vertical="top"/>
    </xf>
    <xf numFmtId="0" fontId="4" fillId="4" borderId="21" xfId="2" applyFont="1" applyFill="1" applyBorder="1" applyAlignment="1">
      <alignment horizontal="center" vertical="center"/>
    </xf>
    <xf numFmtId="0" fontId="4" fillId="4" borderId="22" xfId="2" applyFont="1" applyFill="1" applyBorder="1" applyAlignment="1">
      <alignment horizontal="center" vertical="center"/>
    </xf>
    <xf numFmtId="0" fontId="4" fillId="4" borderId="23" xfId="2" applyFont="1" applyFill="1" applyBorder="1" applyAlignment="1">
      <alignment horizontal="center" vertical="center"/>
    </xf>
    <xf numFmtId="0" fontId="18" fillId="0" borderId="31" xfId="4" applyFont="1" applyFill="1" applyBorder="1" applyAlignment="1">
      <alignment horizontal="center" vertical="center" wrapText="1" shrinkToFit="1"/>
    </xf>
    <xf numFmtId="0" fontId="18" fillId="0" borderId="5" xfId="4" applyFont="1" applyFill="1" applyBorder="1" applyAlignment="1">
      <alignment horizontal="center" vertical="center" wrapText="1" shrinkToFit="1"/>
    </xf>
    <xf numFmtId="0" fontId="18" fillId="0" borderId="32" xfId="4" applyFont="1" applyFill="1" applyBorder="1" applyAlignment="1">
      <alignment horizontal="center" vertical="center" wrapText="1" shrinkToFit="1"/>
    </xf>
    <xf numFmtId="0" fontId="26" fillId="0" borderId="2" xfId="2" applyFont="1" applyFill="1" applyBorder="1" applyAlignment="1">
      <alignment horizontal="right" vertical="center"/>
    </xf>
    <xf numFmtId="0" fontId="26" fillId="0" borderId="12" xfId="2" applyFont="1" applyFill="1" applyBorder="1" applyAlignment="1">
      <alignment horizontal="right" vertical="center"/>
    </xf>
    <xf numFmtId="0" fontId="26" fillId="0" borderId="8" xfId="2" applyFont="1" applyFill="1" applyBorder="1" applyAlignment="1">
      <alignment horizontal="right" vertical="center"/>
    </xf>
    <xf numFmtId="0" fontId="14" fillId="0" borderId="42" xfId="2" applyFont="1" applyFill="1" applyBorder="1" applyAlignment="1">
      <alignment horizontal="center" vertical="center"/>
    </xf>
    <xf numFmtId="0" fontId="14" fillId="0" borderId="12" xfId="2" applyFont="1" applyFill="1" applyBorder="1" applyAlignment="1">
      <alignment horizontal="center" vertical="center"/>
    </xf>
    <xf numFmtId="0" fontId="14" fillId="0" borderId="43" xfId="2" applyFont="1" applyFill="1" applyBorder="1" applyAlignment="1">
      <alignment horizontal="center" vertical="center"/>
    </xf>
    <xf numFmtId="0" fontId="3" fillId="0" borderId="24" xfId="2" applyFont="1" applyFill="1" applyBorder="1" applyAlignment="1">
      <alignment horizontal="center" vertical="top"/>
    </xf>
    <xf numFmtId="0" fontId="3" fillId="0" borderId="9" xfId="2" applyFont="1" applyFill="1" applyBorder="1" applyAlignment="1">
      <alignment horizontal="center" vertical="top"/>
    </xf>
    <xf numFmtId="0" fontId="3" fillId="0" borderId="25" xfId="2" applyFont="1" applyFill="1" applyBorder="1" applyAlignment="1">
      <alignment horizontal="center" vertical="top"/>
    </xf>
    <xf numFmtId="0" fontId="5" fillId="0" borderId="56" xfId="2" applyFont="1" applyFill="1" applyBorder="1" applyAlignment="1">
      <alignment horizontal="center" vertical="top"/>
    </xf>
    <xf numFmtId="0" fontId="5" fillId="0" borderId="57" xfId="2" applyFont="1" applyFill="1" applyBorder="1" applyAlignment="1">
      <alignment horizontal="center" vertical="top"/>
    </xf>
    <xf numFmtId="0" fontId="5" fillId="0" borderId="58" xfId="2" applyFont="1" applyFill="1" applyBorder="1" applyAlignment="1">
      <alignment horizontal="center" vertical="top"/>
    </xf>
    <xf numFmtId="0" fontId="4" fillId="4" borderId="30" xfId="2" applyFont="1" applyFill="1" applyBorder="1" applyAlignment="1">
      <alignment horizontal="center" vertical="center"/>
    </xf>
    <xf numFmtId="0" fontId="4" fillId="4" borderId="2" xfId="2" applyFont="1" applyFill="1" applyBorder="1" applyAlignment="1">
      <alignment horizontal="center" vertical="center"/>
    </xf>
    <xf numFmtId="0" fontId="4" fillId="4" borderId="29" xfId="2" applyFont="1" applyFill="1" applyBorder="1" applyAlignment="1">
      <alignment horizontal="center" vertical="center"/>
    </xf>
    <xf numFmtId="0" fontId="17" fillId="0" borderId="31" xfId="2" applyFont="1" applyFill="1" applyBorder="1" applyAlignment="1">
      <alignment vertical="top"/>
    </xf>
    <xf numFmtId="0" fontId="4" fillId="0" borderId="40" xfId="2" applyFont="1" applyFill="1" applyBorder="1" applyAlignment="1">
      <alignment vertical="center"/>
    </xf>
    <xf numFmtId="0" fontId="4" fillId="0" borderId="13" xfId="2" applyFont="1" applyFill="1" applyBorder="1" applyAlignment="1">
      <alignment vertical="center"/>
    </xf>
    <xf numFmtId="0" fontId="14" fillId="0" borderId="38" xfId="2" applyFont="1" applyFill="1" applyBorder="1" applyAlignment="1">
      <alignment horizontal="center" vertical="center"/>
    </xf>
    <xf numFmtId="0" fontId="14" fillId="0" borderId="14" xfId="2" applyFont="1" applyFill="1" applyBorder="1" applyAlignment="1">
      <alignment horizontal="center" vertical="center"/>
    </xf>
    <xf numFmtId="0" fontId="14" fillId="0" borderId="39" xfId="2" applyFont="1" applyFill="1" applyBorder="1" applyAlignment="1">
      <alignment horizontal="center" vertical="center"/>
    </xf>
    <xf numFmtId="0" fontId="14" fillId="0" borderId="36" xfId="2" applyFont="1" applyFill="1" applyBorder="1" applyAlignment="1">
      <alignment horizontal="center" vertical="center"/>
    </xf>
    <xf numFmtId="0" fontId="14" fillId="0" borderId="7" xfId="2" applyFont="1" applyFill="1" applyBorder="1" applyAlignment="1">
      <alignment horizontal="center" vertical="center"/>
    </xf>
    <xf numFmtId="0" fontId="14" fillId="0" borderId="34" xfId="2" applyFont="1" applyFill="1" applyBorder="1" applyAlignment="1">
      <alignment horizontal="center" vertical="center"/>
    </xf>
    <xf numFmtId="0" fontId="4" fillId="4" borderId="44" xfId="2" applyFont="1" applyFill="1" applyBorder="1" applyAlignment="1">
      <alignment horizontal="center" vertical="center"/>
    </xf>
    <xf numFmtId="0" fontId="4" fillId="4" borderId="45" xfId="2" applyFont="1" applyFill="1" applyBorder="1" applyAlignment="1">
      <alignment horizontal="center" vertical="center"/>
    </xf>
    <xf numFmtId="0" fontId="4" fillId="4" borderId="46" xfId="2" applyFont="1" applyFill="1" applyBorder="1" applyAlignment="1">
      <alignment horizontal="center" vertical="center"/>
    </xf>
    <xf numFmtId="0" fontId="4" fillId="0" borderId="36" xfId="2" applyFont="1" applyFill="1" applyBorder="1" applyAlignment="1">
      <alignment vertical="center"/>
    </xf>
    <xf numFmtId="0" fontId="4" fillId="0" borderId="7" xfId="2" applyFont="1" applyFill="1" applyBorder="1" applyAlignment="1">
      <alignment vertical="center"/>
    </xf>
    <xf numFmtId="0" fontId="4" fillId="0" borderId="40" xfId="2" applyFont="1" applyFill="1" applyBorder="1" applyAlignment="1" applyProtection="1">
      <alignment vertical="center"/>
      <protection locked="0"/>
    </xf>
    <xf numFmtId="0" fontId="4" fillId="0" borderId="13" xfId="2" applyFont="1" applyFill="1" applyBorder="1" applyAlignment="1" applyProtection="1">
      <alignment vertical="center"/>
      <protection locked="0"/>
    </xf>
    <xf numFmtId="0" fontId="4" fillId="0" borderId="5" xfId="3" applyFont="1" applyFill="1" applyBorder="1" applyAlignment="1">
      <alignment horizontal="left" vertical="center" shrinkToFit="1"/>
    </xf>
    <xf numFmtId="0" fontId="21" fillId="0" borderId="0" xfId="2" applyFont="1" applyFill="1" applyBorder="1" applyAlignment="1">
      <alignment horizontal="left" vertical="center" indent="2"/>
    </xf>
    <xf numFmtId="0" fontId="21" fillId="0" borderId="5" xfId="2" applyFont="1" applyFill="1" applyBorder="1" applyAlignment="1">
      <alignment horizontal="left" indent="3"/>
    </xf>
    <xf numFmtId="0" fontId="4" fillId="0" borderId="5" xfId="2" applyFont="1" applyFill="1" applyBorder="1" applyAlignment="1"/>
    <xf numFmtId="0" fontId="3" fillId="0" borderId="5" xfId="2" applyFont="1" applyFill="1" applyBorder="1" applyAlignment="1">
      <alignment horizontal="center" vertical="center" wrapText="1"/>
    </xf>
    <xf numFmtId="0" fontId="24" fillId="0" borderId="0" xfId="2" applyFont="1" applyFill="1" applyBorder="1" applyAlignment="1">
      <alignment horizontal="center" vertical="center"/>
    </xf>
    <xf numFmtId="0" fontId="21" fillId="0" borderId="4" xfId="2" applyFont="1" applyFill="1" applyBorder="1" applyAlignment="1">
      <alignment horizontal="left" indent="3"/>
    </xf>
    <xf numFmtId="0" fontId="21" fillId="0" borderId="2" xfId="2" applyFont="1" applyFill="1" applyBorder="1" applyAlignment="1">
      <alignment horizontal="left" indent="3"/>
    </xf>
    <xf numFmtId="0" fontId="21" fillId="0" borderId="3" xfId="2" applyFont="1" applyFill="1" applyBorder="1" applyAlignment="1">
      <alignment horizontal="left" indent="3"/>
    </xf>
    <xf numFmtId="0" fontId="21" fillId="0" borderId="4" xfId="5" applyNumberFormat="1" applyFont="1" applyFill="1" applyBorder="1" applyAlignment="1">
      <alignment horizontal="left" vertical="top"/>
    </xf>
    <xf numFmtId="0" fontId="21" fillId="0" borderId="2" xfId="5" applyNumberFormat="1" applyFont="1" applyFill="1" applyBorder="1" applyAlignment="1">
      <alignment horizontal="left" vertical="top"/>
    </xf>
    <xf numFmtId="0" fontId="21" fillId="0" borderId="3" xfId="5" applyNumberFormat="1" applyFont="1" applyFill="1" applyBorder="1" applyAlignment="1">
      <alignment horizontal="left" vertical="top"/>
    </xf>
    <xf numFmtId="0" fontId="22" fillId="0" borderId="5" xfId="5" applyNumberFormat="1" applyFont="1" applyFill="1" applyBorder="1" applyAlignment="1">
      <alignment horizontal="left" vertical="center" wrapText="1"/>
    </xf>
    <xf numFmtId="0" fontId="4" fillId="0" borderId="5" xfId="2" applyFont="1" applyFill="1" applyBorder="1" applyAlignment="1">
      <alignment horizontal="center" vertical="center"/>
    </xf>
    <xf numFmtId="0" fontId="4" fillId="0" borderId="0" xfId="2" applyFont="1" applyFill="1" applyBorder="1" applyAlignment="1">
      <alignment horizontal="center" vertical="center"/>
    </xf>
    <xf numFmtId="0" fontId="20" fillId="0" borderId="5" xfId="2" applyFont="1" applyFill="1" applyBorder="1" applyAlignment="1">
      <alignment horizontal="left" vertical="center" wrapText="1"/>
    </xf>
    <xf numFmtId="0" fontId="4" fillId="0" borderId="4" xfId="5" applyNumberFormat="1" applyFont="1" applyFill="1" applyBorder="1" applyAlignment="1">
      <alignment horizontal="left" vertical="center" indent="3"/>
    </xf>
    <xf numFmtId="0" fontId="4" fillId="0" borderId="2" xfId="5" applyNumberFormat="1" applyFont="1" applyFill="1" applyBorder="1" applyAlignment="1">
      <alignment horizontal="left" vertical="center" indent="3"/>
    </xf>
    <xf numFmtId="0" fontId="4" fillId="0" borderId="3" xfId="5" applyNumberFormat="1" applyFont="1" applyFill="1" applyBorder="1" applyAlignment="1">
      <alignment horizontal="left" vertical="center" indent="3"/>
    </xf>
    <xf numFmtId="0" fontId="11" fillId="0" borderId="5" xfId="2" applyFont="1" applyFill="1" applyBorder="1" applyAlignment="1">
      <alignment horizontal="left" vertical="center" indent="1"/>
    </xf>
    <xf numFmtId="0" fontId="20" fillId="0" borderId="16" xfId="2" applyFont="1" applyFill="1" applyBorder="1" applyAlignment="1">
      <alignment horizontal="left" vertical="center"/>
    </xf>
    <xf numFmtId="0" fontId="20" fillId="0" borderId="17" xfId="2" applyFont="1" applyFill="1" applyBorder="1" applyAlignment="1">
      <alignment horizontal="left" vertical="center"/>
    </xf>
    <xf numFmtId="0" fontId="20" fillId="0" borderId="18" xfId="2" applyFont="1" applyFill="1" applyBorder="1" applyAlignment="1">
      <alignment horizontal="left" vertical="center"/>
    </xf>
  </cellXfs>
  <cellStyles count="12">
    <cellStyle name="Accent3" xfId="1" builtinId="37"/>
    <cellStyle name="Currency 2" xfId="5" xr:uid="{E2E902C0-1C7F-4D01-BD06-7C0DC605CD17}"/>
    <cellStyle name="Currency 3" xfId="7" xr:uid="{7F6CC59D-7B44-44E4-885F-78D9476EB175}"/>
    <cellStyle name="Hyperlink" xfId="4" builtinId="8"/>
    <cellStyle name="Normal" xfId="0" builtinId="0"/>
    <cellStyle name="Normal 2" xfId="2" xr:uid="{07AFB3D6-F66C-4E4D-9067-E85681E4AECB}"/>
    <cellStyle name="Normal 3" xfId="11" xr:uid="{700CE2A2-80FA-419B-84FF-CF28F2AD6752}"/>
    <cellStyle name="Note 2" xfId="3" xr:uid="{5736A1BF-40D4-4198-BFED-A0EC5CB9AE7D}"/>
    <cellStyle name="Note 2 2" xfId="10" xr:uid="{19E886DD-1533-40C6-AABF-95B457A1BB81}"/>
    <cellStyle name="Note 3" xfId="9" xr:uid="{7388FF21-B522-4552-9D76-16D70FF1109D}"/>
    <cellStyle name="Percent 2" xfId="6" xr:uid="{AFBF1054-85E8-4F3B-8BB6-63A93CD23CA9}"/>
    <cellStyle name="Percent 3" xfId="8" xr:uid="{094C77DE-088B-45FA-AD7C-E45456AE4245}"/>
  </cellStyles>
  <dxfs count="7">
    <dxf>
      <fill>
        <patternFill patternType="none">
          <bgColor auto="1"/>
        </patternFill>
      </fill>
      <border>
        <left style="thin">
          <color auto="1"/>
        </left>
        <right style="thin">
          <color auto="1"/>
        </right>
        <top style="thin">
          <color auto="1"/>
        </top>
        <bottom style="thin">
          <color auto="1"/>
        </bottom>
        <vertical/>
        <horizontal/>
      </border>
    </dxf>
    <dxf>
      <font>
        <b/>
        <i val="0"/>
      </font>
    </dxf>
    <dxf>
      <fill>
        <patternFill>
          <bgColor theme="7" tint="0.79998168889431442"/>
        </patternFill>
      </fill>
    </dxf>
    <dxf>
      <fill>
        <patternFill>
          <bgColor theme="9" tint="0.59996337778862885"/>
        </patternFill>
      </fill>
    </dxf>
    <dxf>
      <font>
        <color theme="2" tint="-0.499984740745262"/>
      </font>
      <fill>
        <patternFill>
          <bgColor theme="2" tint="-9.9948118533890809E-2"/>
        </patternFill>
      </fill>
    </dxf>
    <dxf>
      <font>
        <color theme="1"/>
      </font>
    </dxf>
    <dxf>
      <font>
        <b/>
        <i/>
        <color rgb="FFFF6600"/>
      </font>
      <fill>
        <patternFill>
          <bgColor theme="0"/>
        </patternFill>
      </fill>
    </dxf>
  </dxfs>
  <tableStyles count="0" defaultTableStyle="TableStyleMedium2" defaultPivotStyle="PivotStyleLight16"/>
  <colors>
    <mruColors>
      <color rgb="FF09FF26"/>
      <color rgb="FFFF66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5" Type="http://schemas.openxmlformats.org/officeDocument/2006/relationships/customXml" Target="../customXml/item2.xml"/><Relationship Id="rId10" Type="http://schemas.microsoft.com/office/2017/06/relationships/rdRichValueStructure" Target="richData/rdrichvaluestructure.xml"/><Relationship Id="rId4" Type="http://schemas.openxmlformats.org/officeDocument/2006/relationships/externalLink" Target="externalLinks/externalLink1.xml"/><Relationship Id="rId9" Type="http://schemas.microsoft.com/office/2017/06/relationships/rdRichValue" Target="richData/rdrichvalue.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180975</xdr:colOff>
      <xdr:row>2</xdr:row>
      <xdr:rowOff>152400</xdr:rowOff>
    </xdr:from>
    <xdr:to>
      <xdr:col>1</xdr:col>
      <xdr:colOff>1627209</xdr:colOff>
      <xdr:row>10</xdr:row>
      <xdr:rowOff>66675</xdr:rowOff>
    </xdr:to>
    <xdr:pic>
      <xdr:nvPicPr>
        <xdr:cNvPr id="2" name="Picture 1">
          <a:extLst>
            <a:ext uri="{FF2B5EF4-FFF2-40B4-BE49-F238E27FC236}">
              <a16:creationId xmlns:a16="http://schemas.microsoft.com/office/drawing/2014/main" id="{332B4DDD-179E-4E50-BA16-9BDAD05DBC15}"/>
            </a:ext>
          </a:extLst>
        </xdr:cNvPr>
        <xdr:cNvPicPr>
          <a:picLocks noChangeAspect="1"/>
        </xdr:cNvPicPr>
      </xdr:nvPicPr>
      <xdr:blipFill>
        <a:blip xmlns:r="http://schemas.openxmlformats.org/officeDocument/2006/relationships" r:embed="rId1" cstate="print">
          <a:alphaModFix/>
          <a:extLst>
            <a:ext uri="{28A0092B-C50C-407E-A947-70E740481C1C}">
              <a14:useLocalDpi xmlns:a14="http://schemas.microsoft.com/office/drawing/2010/main" val="0"/>
            </a:ext>
          </a:extLst>
        </a:blip>
        <a:stretch>
          <a:fillRect/>
        </a:stretch>
      </xdr:blipFill>
      <xdr:spPr>
        <a:xfrm>
          <a:off x="180975" y="228600"/>
          <a:ext cx="1446234" cy="16192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1</xdr:row>
      <xdr:rowOff>609599</xdr:rowOff>
    </xdr:from>
    <xdr:to>
      <xdr:col>1</xdr:col>
      <xdr:colOff>1725226</xdr:colOff>
      <xdr:row>9</xdr:row>
      <xdr:rowOff>38100</xdr:rowOff>
    </xdr:to>
    <xdr:pic>
      <xdr:nvPicPr>
        <xdr:cNvPr id="2" name="Picture 1">
          <a:extLst>
            <a:ext uri="{FF2B5EF4-FFF2-40B4-BE49-F238E27FC236}">
              <a16:creationId xmlns:a16="http://schemas.microsoft.com/office/drawing/2014/main" id="{BD94F671-04E1-45AE-8056-2A2081667D14}"/>
            </a:ext>
          </a:extLst>
        </xdr:cNvPr>
        <xdr:cNvPicPr>
          <a:picLocks noChangeAspect="1"/>
        </xdr:cNvPicPr>
      </xdr:nvPicPr>
      <xdr:blipFill>
        <a:blip xmlns:r="http://schemas.openxmlformats.org/officeDocument/2006/relationships" r:embed="rId1" cstate="print">
          <a:alphaModFix/>
          <a:extLst>
            <a:ext uri="{28A0092B-C50C-407E-A947-70E740481C1C}">
              <a14:useLocalDpi xmlns:a14="http://schemas.microsoft.com/office/drawing/2010/main" val="0"/>
            </a:ext>
          </a:extLst>
        </a:blip>
        <a:stretch>
          <a:fillRect/>
        </a:stretch>
      </xdr:blipFill>
      <xdr:spPr>
        <a:xfrm>
          <a:off x="142875" y="609599"/>
          <a:ext cx="1582351" cy="177165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proved%20Surety%20Calculator-2022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rety Calculations Form"/>
      <sheetName val="Data Manipulation"/>
    </sheetNames>
    <sheetDataSet>
      <sheetData sheetId="0"/>
      <sheetData sheetId="1"/>
    </sheetDataSet>
  </externalBook>
</externalLink>
</file>

<file path=xl/persons/person.xml><?xml version="1.0" encoding="utf-8"?>
<personList xmlns="http://schemas.microsoft.com/office/spreadsheetml/2018/threadedcomments" xmlns:x="http://schemas.openxmlformats.org/spreadsheetml/2006/mai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9852A-CD45-4820-919E-136C8F174F61}">
  <dimension ref="A1:J198"/>
  <sheetViews>
    <sheetView tabSelected="1" zoomScaleNormal="100" zoomScaleSheetLayoutView="50" workbookViewId="0">
      <selection activeCell="D5" sqref="D5:E5"/>
    </sheetView>
  </sheetViews>
  <sheetFormatPr defaultColWidth="9.140625" defaultRowHeight="15.75" x14ac:dyDescent="0.25"/>
  <cols>
    <col min="1" max="1" width="4.7109375" style="77" customWidth="1"/>
    <col min="2" max="2" width="27.7109375" style="78" customWidth="1"/>
    <col min="3" max="5" width="20.7109375" style="78" customWidth="1"/>
    <col min="6" max="6" width="20.7109375" style="87" customWidth="1"/>
    <col min="7" max="8" width="20.7109375" style="78" customWidth="1"/>
    <col min="9" max="9" width="4.85546875" style="77" customWidth="1"/>
    <col min="10" max="10" width="10.42578125" style="78" hidden="1" customWidth="1"/>
    <col min="11" max="16384" width="9.140625" style="78"/>
  </cols>
  <sheetData>
    <row r="1" spans="1:9" ht="16.5" thickBot="1" x14ac:dyDescent="0.3">
      <c r="A1" s="67"/>
      <c r="B1" s="65"/>
      <c r="C1" s="65"/>
      <c r="D1" s="65"/>
      <c r="E1" s="65"/>
      <c r="F1" s="88"/>
      <c r="G1" s="65"/>
      <c r="H1" s="65"/>
      <c r="I1" s="67"/>
    </row>
    <row r="2" spans="1:9" s="76" customFormat="1" ht="6" customHeight="1" thickBot="1" x14ac:dyDescent="0.3">
      <c r="A2" s="66"/>
      <c r="B2" s="196"/>
      <c r="C2" s="197"/>
      <c r="D2" s="197"/>
      <c r="E2" s="197"/>
      <c r="F2" s="197"/>
      <c r="G2" s="197"/>
      <c r="H2" s="198"/>
      <c r="I2" s="66"/>
    </row>
    <row r="3" spans="1:9" ht="24" customHeight="1" x14ac:dyDescent="0.25">
      <c r="A3" s="67"/>
      <c r="B3" s="208" t="s">
        <v>0</v>
      </c>
      <c r="C3" s="209"/>
      <c r="D3" s="209"/>
      <c r="E3" s="209"/>
      <c r="F3" s="209"/>
      <c r="G3" s="209"/>
      <c r="H3" s="210"/>
      <c r="I3" s="67"/>
    </row>
    <row r="4" spans="1:9" ht="15.75" customHeight="1" x14ac:dyDescent="0.25">
      <c r="A4" s="67"/>
      <c r="B4" s="211" t="s">
        <v>177</v>
      </c>
      <c r="C4" s="212"/>
      <c r="D4" s="212"/>
      <c r="E4" s="212"/>
      <c r="F4" s="212"/>
      <c r="G4" s="212"/>
      <c r="H4" s="213"/>
      <c r="I4" s="67"/>
    </row>
    <row r="5" spans="1:9" ht="15.75" customHeight="1" x14ac:dyDescent="0.25">
      <c r="A5" s="67"/>
      <c r="B5" s="118"/>
      <c r="C5" s="111" t="s">
        <v>1</v>
      </c>
      <c r="D5" s="132"/>
      <c r="E5" s="133"/>
      <c r="F5" s="114" t="s">
        <v>2</v>
      </c>
      <c r="G5" s="132"/>
      <c r="H5" s="136"/>
      <c r="I5" s="67"/>
    </row>
    <row r="6" spans="1:9" ht="15.75" customHeight="1" x14ac:dyDescent="0.25">
      <c r="A6" s="67"/>
      <c r="B6" s="119"/>
      <c r="C6" s="111" t="s">
        <v>3</v>
      </c>
      <c r="D6" s="132"/>
      <c r="E6" s="133"/>
      <c r="F6" s="114" t="s">
        <v>4</v>
      </c>
      <c r="G6" s="132"/>
      <c r="H6" s="136"/>
      <c r="I6" s="67"/>
    </row>
    <row r="7" spans="1:9" ht="15.75" customHeight="1" x14ac:dyDescent="0.25">
      <c r="A7" s="67"/>
      <c r="B7" s="119"/>
      <c r="C7" s="111" t="s">
        <v>5</v>
      </c>
      <c r="D7" s="134"/>
      <c r="E7" s="135"/>
      <c r="F7" s="115" t="s">
        <v>6</v>
      </c>
      <c r="G7" s="132"/>
      <c r="H7" s="136"/>
      <c r="I7" s="67"/>
    </row>
    <row r="8" spans="1:9" ht="15.75" customHeight="1" x14ac:dyDescent="0.25">
      <c r="A8" s="67"/>
      <c r="B8" s="119"/>
      <c r="C8" s="111" t="s">
        <v>7</v>
      </c>
      <c r="D8" s="132"/>
      <c r="E8" s="133"/>
      <c r="F8" s="114" t="s">
        <v>8</v>
      </c>
      <c r="G8" s="132"/>
      <c r="H8" s="136"/>
      <c r="I8" s="67"/>
    </row>
    <row r="9" spans="1:9" ht="15.75" customHeight="1" x14ac:dyDescent="0.25">
      <c r="A9" s="67"/>
      <c r="B9" s="119"/>
      <c r="C9" s="111" t="s">
        <v>9</v>
      </c>
      <c r="D9" s="132"/>
      <c r="E9" s="133"/>
      <c r="F9" s="114"/>
      <c r="G9" s="132"/>
      <c r="H9" s="136"/>
      <c r="I9" s="67"/>
    </row>
    <row r="10" spans="1:9" ht="15.75" customHeight="1" x14ac:dyDescent="0.25">
      <c r="A10" s="67"/>
      <c r="B10" s="119"/>
      <c r="C10" s="111" t="s">
        <v>10</v>
      </c>
      <c r="D10" s="132"/>
      <c r="E10" s="133"/>
      <c r="F10" s="114" t="s">
        <v>11</v>
      </c>
      <c r="G10" s="132"/>
      <c r="H10" s="136"/>
      <c r="I10" s="67"/>
    </row>
    <row r="11" spans="1:9" s="79" customFormat="1" ht="15.75" customHeight="1" thickBot="1" x14ac:dyDescent="0.3">
      <c r="A11" s="68"/>
      <c r="B11" s="120"/>
      <c r="C11" s="112" t="s">
        <v>12</v>
      </c>
      <c r="D11" s="20"/>
      <c r="E11" s="21" t="s">
        <v>13</v>
      </c>
      <c r="F11" s="113" t="s">
        <v>14</v>
      </c>
      <c r="G11" s="172"/>
      <c r="H11" s="173"/>
      <c r="I11" s="67"/>
    </row>
    <row r="12" spans="1:9" s="76" customFormat="1" ht="6" customHeight="1" thickBot="1" x14ac:dyDescent="0.3">
      <c r="A12" s="66"/>
      <c r="B12" s="180"/>
      <c r="C12" s="181"/>
      <c r="D12" s="181"/>
      <c r="E12" s="181"/>
      <c r="F12" s="181"/>
      <c r="G12" s="181"/>
      <c r="H12" s="182"/>
      <c r="I12" s="67"/>
    </row>
    <row r="13" spans="1:9" s="80" customFormat="1" ht="109.5" customHeight="1" x14ac:dyDescent="0.25">
      <c r="A13" s="69"/>
      <c r="B13" s="176" t="s">
        <v>15</v>
      </c>
      <c r="C13" s="177"/>
      <c r="D13" s="177"/>
      <c r="E13" s="177"/>
      <c r="F13" s="177"/>
      <c r="G13" s="177"/>
      <c r="H13" s="103"/>
      <c r="I13" s="69"/>
    </row>
    <row r="14" spans="1:9" s="81" customFormat="1" ht="145.5" customHeight="1" x14ac:dyDescent="0.25">
      <c r="A14" s="70"/>
      <c r="B14" s="178" t="s">
        <v>16</v>
      </c>
      <c r="C14" s="179"/>
      <c r="D14" s="179"/>
      <c r="E14" s="179"/>
      <c r="F14" s="179"/>
      <c r="G14" s="179"/>
      <c r="H14" s="104"/>
      <c r="I14" s="70"/>
    </row>
    <row r="15" spans="1:9" s="80" customFormat="1" ht="34.5" customHeight="1" thickBot="1" x14ac:dyDescent="0.3">
      <c r="A15" s="69"/>
      <c r="B15" s="174" t="s">
        <v>17</v>
      </c>
      <c r="C15" s="175"/>
      <c r="D15" s="175"/>
      <c r="E15" s="175"/>
      <c r="F15" s="175"/>
      <c r="G15" s="175"/>
      <c r="H15" s="105"/>
      <c r="I15" s="69"/>
    </row>
    <row r="16" spans="1:9" s="76" customFormat="1" ht="6" customHeight="1" thickBot="1" x14ac:dyDescent="0.3">
      <c r="A16" s="66"/>
      <c r="B16" s="180"/>
      <c r="C16" s="181"/>
      <c r="D16" s="181"/>
      <c r="E16" s="181"/>
      <c r="F16" s="181"/>
      <c r="G16" s="181"/>
      <c r="H16" s="182"/>
      <c r="I16" s="66"/>
    </row>
    <row r="17" spans="1:10" s="82" customFormat="1" ht="32.1" customHeight="1" thickBot="1" x14ac:dyDescent="0.3">
      <c r="A17" s="71"/>
      <c r="B17" s="199" t="s">
        <v>18</v>
      </c>
      <c r="C17" s="200"/>
      <c r="D17" s="200"/>
      <c r="E17" s="200"/>
      <c r="F17" s="200"/>
      <c r="G17" s="200"/>
      <c r="H17" s="201"/>
      <c r="I17" s="71"/>
    </row>
    <row r="18" spans="1:10" s="76" customFormat="1" ht="6" customHeight="1" thickBot="1" x14ac:dyDescent="0.3">
      <c r="A18" s="66"/>
      <c r="B18" s="180"/>
      <c r="C18" s="181"/>
      <c r="D18" s="181"/>
      <c r="E18" s="181"/>
      <c r="F18" s="181"/>
      <c r="G18" s="181"/>
      <c r="H18" s="182"/>
      <c r="I18" s="66"/>
    </row>
    <row r="19" spans="1:10" s="76" customFormat="1" ht="21" customHeight="1" x14ac:dyDescent="0.25">
      <c r="A19" s="72"/>
      <c r="B19" s="161" t="s">
        <v>19</v>
      </c>
      <c r="C19" s="157"/>
      <c r="D19" s="157"/>
      <c r="E19" s="22" t="s">
        <v>20</v>
      </c>
      <c r="F19" s="22" t="s">
        <v>21</v>
      </c>
      <c r="G19" s="22" t="s">
        <v>22</v>
      </c>
      <c r="H19" s="23" t="s">
        <v>23</v>
      </c>
      <c r="I19" s="66"/>
      <c r="J19" s="83"/>
    </row>
    <row r="20" spans="1:10" s="76" customFormat="1" ht="21" customHeight="1" x14ac:dyDescent="0.25">
      <c r="A20" s="72"/>
      <c r="B20" s="158" t="str">
        <f>CONCATENATE(B46)</f>
        <v>SELECT WATER DISTRICT (see header section above)</v>
      </c>
      <c r="C20" s="159"/>
      <c r="D20" s="160"/>
      <c r="E20" s="24" t="str">
        <f>IF(D10="CITY OF FRANKLIN",IF(H56=0,"----------",H56),"--- n/a ---")</f>
        <v>--- n/a ---</v>
      </c>
      <c r="F20" s="24" t="str">
        <f>IF(D10="CITY OF FRANKLIN",IF(E20="----------","----------",E20*0.25),"--- n/a ---")</f>
        <v>--- n/a ---</v>
      </c>
      <c r="G20" s="24" t="str">
        <f>IF(D10="CITY OF FRANKLIN",IF(E20="----------","----------",E20/(SUM($E$20:$E$24)+SUM($E$28:$E$30))*Calcs!$B$2),"--- n/a ---")</f>
        <v>--- n/a ---</v>
      </c>
      <c r="H20" s="25" t="str">
        <f>IF(D10="CITY OF FRANKLIN",IF(SUM(E20:G20)=0,"-----------",IF(SUM(E20:G20)&lt;2000,"--- n/a ---",ROUNDUP(SUM(E20:G20),-3))),"--- n/a ---")</f>
        <v>--- n/a ---</v>
      </c>
      <c r="I20" s="66"/>
      <c r="J20" s="83"/>
    </row>
    <row r="21" spans="1:10" s="76" customFormat="1" ht="21" customHeight="1" x14ac:dyDescent="0.25">
      <c r="A21" s="72"/>
      <c r="B21" s="137" t="str">
        <f>B58</f>
        <v>II. CITY SEWER</v>
      </c>
      <c r="C21" s="138"/>
      <c r="D21" s="139"/>
      <c r="E21" s="24" t="str">
        <f>IF(H83=0,"----------",H83)</f>
        <v>----------</v>
      </c>
      <c r="F21" s="24" t="str">
        <f>IF(E21="----------","----------",E21*0.25)</f>
        <v>----------</v>
      </c>
      <c r="G21" s="24" t="str">
        <f>IF(E21="----------","----------",$E21/(SUM($E$20:$E$24)+SUM($E$28:$E$30))*Calcs!$B$2)</f>
        <v>----------</v>
      </c>
      <c r="H21" s="25" t="str">
        <f t="shared" ref="H21" si="0">IF(SUM(E21:G21)=0,"-----------",IF(SUM(E21:G21)&lt;2000,"--- n/a ---",ROUNDUP(SUM(E21:G21),-3)))</f>
        <v>-----------</v>
      </c>
      <c r="I21" s="66"/>
      <c r="J21" s="83"/>
    </row>
    <row r="22" spans="1:10" s="76" customFormat="1" ht="21" customHeight="1" x14ac:dyDescent="0.25">
      <c r="A22" s="72"/>
      <c r="B22" s="137" t="s">
        <v>24</v>
      </c>
      <c r="C22" s="138"/>
      <c r="D22" s="139"/>
      <c r="E22" s="24" t="str">
        <f>IF(H92=0,"----------",H92)</f>
        <v>----------</v>
      </c>
      <c r="F22" s="24" t="str">
        <f>IF(E22="----------","----------",E22*0.25)</f>
        <v>----------</v>
      </c>
      <c r="G22" s="24" t="str">
        <f>IF(E22="----------","----------",$E22/(SUM($E$20:$E$24)+SUM($E$28:$E$30))*Calcs!$B$2)</f>
        <v>----------</v>
      </c>
      <c r="H22" s="25" t="str">
        <f>IF(SUM(E22:G22)=0,"-----------",IF(SUM(E22:G22)&lt;2000,"--- n/a ---",ROUNDUP(SUM(E22:G22),-3)))</f>
        <v>-----------</v>
      </c>
      <c r="I22" s="66"/>
      <c r="J22" s="83"/>
    </row>
    <row r="23" spans="1:10" s="76" customFormat="1" ht="21" customHeight="1" x14ac:dyDescent="0.25">
      <c r="A23" s="72"/>
      <c r="B23" s="137" t="str">
        <f>B95</f>
        <v>IV. CITY STREETS</v>
      </c>
      <c r="C23" s="138"/>
      <c r="D23" s="139"/>
      <c r="E23" s="24" t="str">
        <f>IF(H108=0,"----------",H108)</f>
        <v>----------</v>
      </c>
      <c r="F23" s="24" t="str">
        <f>IF(E23="----------","----------",E23*0.25)</f>
        <v>----------</v>
      </c>
      <c r="G23" s="24" t="str">
        <f>IF(E23="----------","----------",$E23/(SUM($E$20:$E$24)+SUM($E$28:$E$30))*Calcs!$B$2)</f>
        <v>----------</v>
      </c>
      <c r="H23" s="25" t="str">
        <f t="shared" ref="H23" si="1">IF(SUM(E23:G23)=0,"-----------",IF(SUM(E23:G23)&lt;2000,"--- n/a ---",ROUNDUP(SUM(E23:G23),-3)))</f>
        <v>-----------</v>
      </c>
      <c r="I23" s="66"/>
      <c r="J23" s="83"/>
    </row>
    <row r="24" spans="1:10" s="76" customFormat="1" ht="21" customHeight="1" x14ac:dyDescent="0.25">
      <c r="A24" s="72"/>
      <c r="B24" s="137" t="str">
        <f>B110</f>
        <v>V. PRIVATE STREETS (INCLUDING SHARED ACCESS)</v>
      </c>
      <c r="C24" s="138"/>
      <c r="D24" s="139"/>
      <c r="E24" s="24" t="str">
        <f>IF(H120=0,"----------",H120)</f>
        <v>----------</v>
      </c>
      <c r="F24" s="24" t="str">
        <f>IF(E24="----------","----------",E24*0.25)</f>
        <v>----------</v>
      </c>
      <c r="G24" s="24" t="str">
        <f>IF(E24="----------","----------",$E24/(SUM($E$20:$E$24)+SUM($E$28:$E$30))*Calcs!$B$2)</f>
        <v>----------</v>
      </c>
      <c r="H24" s="25" t="str">
        <f>IF(SUM(E24:G24)=0,"-----------",IF(SUM(E24:G24)&lt;2000,"--- n/a ---",ROUNDUP(SUM(E24:G24),-3)))</f>
        <v>-----------</v>
      </c>
      <c r="I24" s="66"/>
      <c r="J24" s="83"/>
    </row>
    <row r="25" spans="1:10" s="76" customFormat="1" ht="21" customHeight="1" x14ac:dyDescent="0.25">
      <c r="A25" s="72"/>
      <c r="B25" s="137" t="str">
        <f>B122</f>
        <v>VI. STREET ACCESS</v>
      </c>
      <c r="C25" s="138"/>
      <c r="D25" s="139"/>
      <c r="E25" s="24" t="str">
        <f>IF(H124=0,"----------",H124)</f>
        <v>----------</v>
      </c>
      <c r="F25" s="24" t="s">
        <v>25</v>
      </c>
      <c r="G25" s="24" t="s">
        <v>25</v>
      </c>
      <c r="H25" s="25" t="str">
        <f>IF(SUM(E25:G25)=0,"-----------",IF(SUM(E25:G25)&lt;2000,"--- n/a ---",ROUNDUP(SUM(E25:G25),-3)))</f>
        <v>-----------</v>
      </c>
      <c r="I25" s="66"/>
      <c r="J25" s="83"/>
    </row>
    <row r="26" spans="1:10" s="76" customFormat="1" ht="21" customHeight="1" x14ac:dyDescent="0.25">
      <c r="A26" s="72"/>
      <c r="B26" s="137" t="str">
        <f>B126</f>
        <v>VII. TEMPORARY TURNAROUNDS</v>
      </c>
      <c r="C26" s="138"/>
      <c r="D26" s="139"/>
      <c r="E26" s="24" t="str">
        <f>IF(H127=0,"----------",H127)</f>
        <v>----------</v>
      </c>
      <c r="F26" s="24" t="s">
        <v>25</v>
      </c>
      <c r="G26" s="24" t="s">
        <v>25</v>
      </c>
      <c r="H26" s="25" t="str">
        <f>IF(SUM(E26:G26)=0,"-----------",IF(SUM(E26:G26)&lt;2000,"--- n/a ---",ROUNDUP(SUM(E26:G26),-3)))</f>
        <v>-----------</v>
      </c>
      <c r="I26" s="66"/>
      <c r="J26" s="83"/>
    </row>
    <row r="27" spans="1:10" s="76" customFormat="1" ht="21" customHeight="1" x14ac:dyDescent="0.25">
      <c r="A27" s="72"/>
      <c r="B27" s="137" t="str">
        <f>B129</f>
        <v>VIII. TRAFFIC SIGNALS</v>
      </c>
      <c r="C27" s="138"/>
      <c r="D27" s="139"/>
      <c r="E27" s="24" t="str">
        <f>IF(H132=0,"----------",H132)</f>
        <v>----------</v>
      </c>
      <c r="F27" s="24" t="str">
        <f>IF(E27="----------","----------",E27*0.25)</f>
        <v>----------</v>
      </c>
      <c r="G27" s="24" t="s">
        <v>25</v>
      </c>
      <c r="H27" s="25" t="str">
        <f>IF(SUM(E27:G27)=0,"-----------",IF(SUM(E27:G27)&lt;2000,"--- n/a ---",ROUNDUP(SUM(E27:G27),-3)))</f>
        <v>-----------</v>
      </c>
      <c r="I27" s="66"/>
      <c r="J27" s="83"/>
    </row>
    <row r="28" spans="1:10" s="76" customFormat="1" ht="21" customHeight="1" x14ac:dyDescent="0.25">
      <c r="A28" s="72"/>
      <c r="B28" s="137" t="str">
        <f>B134</f>
        <v>IX.  I.T.S. ELEMENTS</v>
      </c>
      <c r="C28" s="138"/>
      <c r="D28" s="139"/>
      <c r="E28" s="24" t="str">
        <f>IF(H143=0,"----------",H143)</f>
        <v>----------</v>
      </c>
      <c r="F28" s="24" t="str">
        <f>IF(E28="----------","----------",E28*0.25)</f>
        <v>----------</v>
      </c>
      <c r="G28" s="24" t="str">
        <f>IF(E28="----------","----------",$E28/(SUM($E$20:$E$24)+SUM($E$28:$E$30))*Calcs!$B$2)</f>
        <v>----------</v>
      </c>
      <c r="H28" s="25" t="str">
        <f>IF(SUM(E28:G28)=0,"-----------",IF(SUM(E28:G28)&lt;2000,"--- n/a ---",ROUNDUP(SUM(E28:G28),-3)))</f>
        <v>-----------</v>
      </c>
      <c r="I28" s="66"/>
      <c r="J28" s="83"/>
    </row>
    <row r="29" spans="1:10" s="76" customFormat="1" ht="21" customHeight="1" x14ac:dyDescent="0.25">
      <c r="A29" s="72"/>
      <c r="B29" s="137" t="str">
        <f>B146</f>
        <v>X. STORMWATER DRAINAGE</v>
      </c>
      <c r="C29" s="138"/>
      <c r="D29" s="139"/>
      <c r="E29" s="24" t="str">
        <f>IF(H175=0,"----------",H175)</f>
        <v>----------</v>
      </c>
      <c r="F29" s="24" t="str">
        <f>IF(E29="----------","----------",E29*0.25)</f>
        <v>----------</v>
      </c>
      <c r="G29" s="24" t="str">
        <f>IF(E29="----------","----------",$E29/(SUM($E$20:$E$24)+SUM($E$28:$E$30))*Calcs!$B$2)</f>
        <v>----------</v>
      </c>
      <c r="H29" s="25" t="str">
        <f t="shared" ref="H29:H30" si="2">IF(SUM(E29:G29)=0,"-----------",IF(SUM(E29:G29)&lt;2000,"--- n/a ---",ROUNDUP(SUM(E29:G29),-3)))</f>
        <v>-----------</v>
      </c>
      <c r="I29" s="66"/>
      <c r="J29" s="83"/>
    </row>
    <row r="30" spans="1:10" s="76" customFormat="1" ht="21" customHeight="1" x14ac:dyDescent="0.25">
      <c r="A30" s="72"/>
      <c r="B30" s="137" t="str">
        <f>B177</f>
        <v>XI. GREEN INFRASTRUCTURE</v>
      </c>
      <c r="C30" s="138"/>
      <c r="D30" s="139"/>
      <c r="E30" s="24" t="str">
        <f>IF(H196=0,"----------",H196)</f>
        <v>----------</v>
      </c>
      <c r="F30" s="24" t="str">
        <f>IF(E30="----------","----------",E30*0.25)</f>
        <v>----------</v>
      </c>
      <c r="G30" s="24" t="str">
        <f>IF(E30="----------","----------",$E30/(SUM($E$20:$E$24)+SUM($E$28:$E$30))*Calcs!$B$2)</f>
        <v>----------</v>
      </c>
      <c r="H30" s="25" t="str">
        <f t="shared" si="2"/>
        <v>-----------</v>
      </c>
      <c r="I30" s="66"/>
      <c r="J30" s="83"/>
    </row>
    <row r="31" spans="1:10" s="76" customFormat="1" ht="21" customHeight="1" x14ac:dyDescent="0.25">
      <c r="A31" s="72"/>
      <c r="B31" s="26" t="s">
        <v>26</v>
      </c>
      <c r="C31" s="202" t="str">
        <f>IF(ISBLANK($D$11)=FALSE,"","INCLUDE DISTURBED ACREAGE (see header section above)")</f>
        <v>INCLUDE DISTURBED ACREAGE (see header section above)</v>
      </c>
      <c r="D31" s="202"/>
      <c r="E31" s="203"/>
      <c r="F31" s="203"/>
      <c r="G31" s="204"/>
      <c r="H31" s="27">
        <f>SUM(H20:H30)</f>
        <v>0</v>
      </c>
      <c r="I31" s="66"/>
      <c r="J31" s="83"/>
    </row>
    <row r="32" spans="1:10" ht="35.25" customHeight="1" x14ac:dyDescent="0.25">
      <c r="A32" s="72"/>
      <c r="B32" s="183" t="s">
        <v>28</v>
      </c>
      <c r="C32" s="184"/>
      <c r="D32" s="184"/>
      <c r="E32" s="184"/>
      <c r="F32" s="184"/>
      <c r="G32" s="184"/>
      <c r="H32" s="106"/>
      <c r="I32" s="67"/>
      <c r="J32" s="83"/>
    </row>
    <row r="33" spans="1:10" ht="35.25" customHeight="1" x14ac:dyDescent="0.25">
      <c r="A33" s="72"/>
      <c r="B33" s="183" t="str">
        <f>_xlfn.CONCAT("(2) EPSC is based on a flat ",TEXT(Calcs!$B$1,"$#,##0")," per acre of disturbed area and is distributed proportionally across all surety categories. (Total EPSC amount = ",TEXT(Calcs!$B$1*$D$11,"$#,##0"),")")</f>
        <v>(2) EPSC is based on a flat $7,500 per acre of disturbed area and is distributed proportionally across all surety categories. (Total EPSC amount = $0)</v>
      </c>
      <c r="C33" s="184"/>
      <c r="D33" s="184"/>
      <c r="E33" s="184"/>
      <c r="F33" s="184"/>
      <c r="G33" s="184"/>
      <c r="H33" s="106"/>
      <c r="I33" s="67"/>
      <c r="J33" s="83"/>
    </row>
    <row r="34" spans="1:10" s="76" customFormat="1" ht="6" customHeight="1" x14ac:dyDescent="0.25">
      <c r="A34" s="72"/>
      <c r="B34" s="153"/>
      <c r="C34" s="154"/>
      <c r="D34" s="154"/>
      <c r="E34" s="154"/>
      <c r="F34" s="154"/>
      <c r="G34" s="154"/>
      <c r="H34" s="155"/>
      <c r="I34" s="66"/>
      <c r="J34" s="83"/>
    </row>
    <row r="35" spans="1:10" s="76" customFormat="1" ht="24" customHeight="1" x14ac:dyDescent="0.25">
      <c r="A35" s="72"/>
      <c r="B35" s="161" t="s">
        <v>30</v>
      </c>
      <c r="C35" s="157"/>
      <c r="D35" s="157"/>
      <c r="E35" s="28" t="s">
        <v>31</v>
      </c>
      <c r="F35" s="29" t="s">
        <v>32</v>
      </c>
      <c r="G35" s="29" t="s">
        <v>33</v>
      </c>
      <c r="H35" s="30" t="s">
        <v>23</v>
      </c>
      <c r="I35" s="66"/>
      <c r="J35" s="83"/>
    </row>
    <row r="36" spans="1:10" s="84" customFormat="1" ht="31.5" customHeight="1" x14ac:dyDescent="0.25">
      <c r="A36" s="72"/>
      <c r="B36" s="152" t="s">
        <v>34</v>
      </c>
      <c r="C36" s="168"/>
      <c r="D36" s="168"/>
      <c r="E36" s="31" t="str">
        <f>IF(SUM(E48:E54)&gt;0,SUM(E48:E54),"")</f>
        <v/>
      </c>
      <c r="F36" s="32" t="s">
        <v>35</v>
      </c>
      <c r="G36" s="33">
        <v>1.25</v>
      </c>
      <c r="H36" s="25" t="str">
        <f>IF(D10="CITY OF FRANKLIN",IF(E36="","----------",IF(G36*E36&gt;1000, (G36*E36),(1000))),"--- n/a ---")</f>
        <v>--- n/a ---</v>
      </c>
      <c r="I36" s="74"/>
      <c r="J36" s="83"/>
    </row>
    <row r="37" spans="1:10" s="84" customFormat="1" ht="31.5" customHeight="1" x14ac:dyDescent="0.25">
      <c r="A37" s="72"/>
      <c r="B37" s="152" t="s">
        <v>36</v>
      </c>
      <c r="C37" s="168"/>
      <c r="D37" s="168"/>
      <c r="E37" s="34" t="str">
        <f>IF(SUM($E$60:$E$76)=0,"",SUM($E$60:$E$76))</f>
        <v/>
      </c>
      <c r="F37" s="32" t="s">
        <v>35</v>
      </c>
      <c r="G37" s="33">
        <v>2</v>
      </c>
      <c r="H37" s="25" t="str">
        <f>IF(E37="","----------",IF(G37*E37&gt;1000, (G37*E37),(1000)))</f>
        <v>----------</v>
      </c>
      <c r="I37" s="74"/>
      <c r="J37" s="83"/>
    </row>
    <row r="38" spans="1:10" s="84" customFormat="1" ht="31.5" customHeight="1" x14ac:dyDescent="0.25">
      <c r="A38" s="72"/>
      <c r="B38" s="152" t="s">
        <v>37</v>
      </c>
      <c r="C38" s="168"/>
      <c r="D38" s="168"/>
      <c r="E38" s="34" t="str">
        <f>IF(SUM($E$69:$E$75)=0,"",SUM($E$69:$E$75))</f>
        <v/>
      </c>
      <c r="F38" s="32" t="s">
        <v>35</v>
      </c>
      <c r="G38" s="33">
        <v>1.5</v>
      </c>
      <c r="H38" s="25" t="str">
        <f>IF(E38="","----------",IF(G38*E38&gt;1000, (G38*E38),(1000)))</f>
        <v>----------</v>
      </c>
      <c r="I38" s="74"/>
      <c r="J38" s="83"/>
    </row>
    <row r="39" spans="1:10" s="84" customFormat="1" ht="31.5" customHeight="1" x14ac:dyDescent="0.25">
      <c r="A39" s="72"/>
      <c r="B39" s="152" t="s">
        <v>38</v>
      </c>
      <c r="C39" s="168"/>
      <c r="D39" s="168"/>
      <c r="E39" s="34" t="str">
        <f>IF(SUM($E$76:$E$81)=0,"",SUM($E$76:$E$81))</f>
        <v/>
      </c>
      <c r="F39" s="32" t="s">
        <v>35</v>
      </c>
      <c r="G39" s="33">
        <v>1.25</v>
      </c>
      <c r="H39" s="25" t="str">
        <f>IF(E39="","----------",IF(G39*E39&gt;1000, (G39*E39),(1000)))</f>
        <v>----------</v>
      </c>
      <c r="I39" s="74"/>
      <c r="J39" s="83"/>
    </row>
    <row r="40" spans="1:10" s="84" customFormat="1" ht="31.5" customHeight="1" x14ac:dyDescent="0.25">
      <c r="A40" s="72"/>
      <c r="B40" s="152" t="s">
        <v>171</v>
      </c>
      <c r="C40" s="168"/>
      <c r="D40" s="168"/>
      <c r="E40" s="34">
        <f>ROUNDUP((SUM($E$99:$E$102)+SUM($E$112:$E$114))*9/12,-1)</f>
        <v>0</v>
      </c>
      <c r="F40" s="32" t="s">
        <v>35</v>
      </c>
      <c r="G40" s="33">
        <v>2</v>
      </c>
      <c r="H40" s="25">
        <f>IF(E40="","----------",IF(G40*E40&gt;1000, (G40*E40),(1000)))</f>
        <v>1000</v>
      </c>
      <c r="I40" s="74"/>
      <c r="J40" s="83"/>
    </row>
    <row r="41" spans="1:10" s="84" customFormat="1" ht="31.5" customHeight="1" x14ac:dyDescent="0.25">
      <c r="A41" s="72"/>
      <c r="B41" s="152" t="s">
        <v>39</v>
      </c>
      <c r="C41" s="168"/>
      <c r="D41" s="168"/>
      <c r="E41" s="34">
        <f>ROUNDUP((SUM($E$148:$E$157)+SUM($E$59:$E$60))*9/12,-2)</f>
        <v>0</v>
      </c>
      <c r="F41" s="32" t="s">
        <v>35</v>
      </c>
      <c r="G41" s="33">
        <v>1</v>
      </c>
      <c r="H41" s="25">
        <f>IF(E41="","----------", (G41*E41))</f>
        <v>0</v>
      </c>
      <c r="I41" s="74"/>
      <c r="J41" s="83"/>
    </row>
    <row r="42" spans="1:10" s="84" customFormat="1" ht="31.5" customHeight="1" x14ac:dyDescent="0.25">
      <c r="A42" s="72"/>
      <c r="B42" s="152" t="s">
        <v>40</v>
      </c>
      <c r="C42" s="168"/>
      <c r="D42" s="168"/>
      <c r="E42" s="34">
        <f>ROUNDUP((SUM($E$165:$E$166)),-2)</f>
        <v>0</v>
      </c>
      <c r="F42" s="32" t="s">
        <v>41</v>
      </c>
      <c r="G42" s="33">
        <v>0.01</v>
      </c>
      <c r="H42" s="25">
        <f>IF(E42="","----------", (G42*E42))</f>
        <v>0</v>
      </c>
      <c r="I42" s="74"/>
      <c r="J42" s="83"/>
    </row>
    <row r="43" spans="1:10" s="84" customFormat="1" ht="31.5" customHeight="1" x14ac:dyDescent="0.25">
      <c r="A43" s="72"/>
      <c r="B43" s="152" t="s">
        <v>42</v>
      </c>
      <c r="C43" s="168"/>
      <c r="D43" s="168"/>
      <c r="E43" s="34">
        <f>ROUNDDOWN($E$167,-2)</f>
        <v>0</v>
      </c>
      <c r="F43" s="32" t="s">
        <v>35</v>
      </c>
      <c r="G43" s="33">
        <v>1</v>
      </c>
      <c r="H43" s="25">
        <f>IF(E43="","----------", (G43*E43))</f>
        <v>0</v>
      </c>
      <c r="I43" s="74"/>
      <c r="J43" s="83"/>
    </row>
    <row r="44" spans="1:10" s="76" customFormat="1" ht="6" customHeight="1" x14ac:dyDescent="0.25">
      <c r="A44" s="72"/>
      <c r="B44" s="153"/>
      <c r="C44" s="154"/>
      <c r="D44" s="154"/>
      <c r="E44" s="154"/>
      <c r="F44" s="154"/>
      <c r="G44" s="154"/>
      <c r="H44" s="155"/>
      <c r="I44" s="66"/>
      <c r="J44" s="83"/>
    </row>
    <row r="45" spans="1:10" s="76" customFormat="1" ht="6" customHeight="1" x14ac:dyDescent="0.25">
      <c r="A45" s="72"/>
      <c r="B45" s="214"/>
      <c r="C45" s="215"/>
      <c r="D45" s="215"/>
      <c r="E45" s="215"/>
      <c r="F45" s="215"/>
      <c r="G45" s="215"/>
      <c r="H45" s="216"/>
      <c r="I45" s="66"/>
      <c r="J45" s="83"/>
    </row>
    <row r="46" spans="1:10" s="76" customFormat="1" ht="48" customHeight="1" x14ac:dyDescent="0.25">
      <c r="A46" s="72"/>
      <c r="B46" s="188" t="str">
        <f>IF(D10="","SELECT WATER DISTRICT (see header section above)",IF(D10="City of Franklin","I. CITY WATER","Sureties for Water to be posted with "&amp;D10))</f>
        <v>SELECT WATER DISTRICT (see header section above)</v>
      </c>
      <c r="C46" s="189"/>
      <c r="D46" s="185" t="s">
        <v>43</v>
      </c>
      <c r="E46" s="186"/>
      <c r="F46" s="186"/>
      <c r="G46" s="186"/>
      <c r="H46" s="187"/>
      <c r="I46" s="66"/>
      <c r="J46" s="83"/>
    </row>
    <row r="47" spans="1:10" s="86" customFormat="1" ht="19.899999999999999" customHeight="1" x14ac:dyDescent="0.25">
      <c r="A47" s="73"/>
      <c r="B47" s="190"/>
      <c r="C47" s="191"/>
      <c r="D47" s="117"/>
      <c r="E47" s="35" t="s">
        <v>31</v>
      </c>
      <c r="F47" s="36" t="s">
        <v>32</v>
      </c>
      <c r="G47" s="36" t="s">
        <v>33</v>
      </c>
      <c r="H47" s="37" t="s">
        <v>23</v>
      </c>
      <c r="I47" s="75"/>
      <c r="J47" s="85"/>
    </row>
    <row r="48" spans="1:10" s="76" customFormat="1" ht="21" customHeight="1" x14ac:dyDescent="0.25">
      <c r="A48" s="72" t="str">
        <f t="shared" ref="A48:A54" si="3">IF(AND(E48&lt;&gt;"",$D$10="City of Franklin")=TRUE,J48,"")</f>
        <v/>
      </c>
      <c r="B48" s="137" t="s">
        <v>44</v>
      </c>
      <c r="C48" s="138"/>
      <c r="D48" s="138"/>
      <c r="E48" s="38"/>
      <c r="F48" s="19" t="s">
        <v>35</v>
      </c>
      <c r="G48" s="24">
        <v>160</v>
      </c>
      <c r="H48" s="25">
        <f t="shared" ref="H48:H54" si="4">E48*G48</f>
        <v>0</v>
      </c>
      <c r="I48" s="66"/>
      <c r="J48" s="83">
        <v>47000160</v>
      </c>
    </row>
    <row r="49" spans="1:10" s="76" customFormat="1" ht="21" customHeight="1" x14ac:dyDescent="0.25">
      <c r="A49" s="72" t="str">
        <f t="shared" si="3"/>
        <v/>
      </c>
      <c r="B49" s="137" t="s">
        <v>45</v>
      </c>
      <c r="C49" s="138"/>
      <c r="D49" s="138"/>
      <c r="E49" s="38"/>
      <c r="F49" s="19" t="s">
        <v>35</v>
      </c>
      <c r="G49" s="24">
        <v>200</v>
      </c>
      <c r="H49" s="25">
        <f t="shared" si="4"/>
        <v>0</v>
      </c>
      <c r="I49" s="66"/>
      <c r="J49" s="83">
        <v>48000400</v>
      </c>
    </row>
    <row r="50" spans="1:10" s="76" customFormat="1" ht="21" customHeight="1" x14ac:dyDescent="0.25">
      <c r="A50" s="72" t="str">
        <f t="shared" si="3"/>
        <v/>
      </c>
      <c r="B50" s="137" t="s">
        <v>46</v>
      </c>
      <c r="C50" s="138"/>
      <c r="D50" s="138"/>
      <c r="E50" s="38"/>
      <c r="F50" s="19" t="s">
        <v>35</v>
      </c>
      <c r="G50" s="24">
        <v>220</v>
      </c>
      <c r="H50" s="25">
        <f t="shared" si="4"/>
        <v>0</v>
      </c>
      <c r="I50" s="66"/>
      <c r="J50" s="83">
        <v>49000660</v>
      </c>
    </row>
    <row r="51" spans="1:10" s="76" customFormat="1" ht="21" customHeight="1" x14ac:dyDescent="0.25">
      <c r="A51" s="72" t="str">
        <f t="shared" si="3"/>
        <v/>
      </c>
      <c r="B51" s="137" t="s">
        <v>47</v>
      </c>
      <c r="C51" s="138"/>
      <c r="D51" s="138"/>
      <c r="E51" s="38"/>
      <c r="F51" s="19" t="s">
        <v>35</v>
      </c>
      <c r="G51" s="24">
        <v>250</v>
      </c>
      <c r="H51" s="25">
        <f t="shared" si="4"/>
        <v>0</v>
      </c>
      <c r="I51" s="66"/>
      <c r="J51" s="83">
        <v>50001000</v>
      </c>
    </row>
    <row r="52" spans="1:10" s="76" customFormat="1" ht="21" customHeight="1" x14ac:dyDescent="0.25">
      <c r="A52" s="72" t="str">
        <f t="shared" si="3"/>
        <v/>
      </c>
      <c r="B52" s="137" t="s">
        <v>48</v>
      </c>
      <c r="C52" s="138"/>
      <c r="D52" s="138"/>
      <c r="E52" s="38"/>
      <c r="F52" s="19" t="s">
        <v>35</v>
      </c>
      <c r="G52" s="24">
        <v>305</v>
      </c>
      <c r="H52" s="25">
        <f t="shared" si="4"/>
        <v>0</v>
      </c>
      <c r="I52" s="66"/>
      <c r="J52" s="83">
        <v>51001525</v>
      </c>
    </row>
    <row r="53" spans="1:10" s="76" customFormat="1" ht="21" customHeight="1" x14ac:dyDescent="0.25">
      <c r="A53" s="72" t="str">
        <f t="shared" si="3"/>
        <v/>
      </c>
      <c r="B53" s="137" t="s">
        <v>49</v>
      </c>
      <c r="C53" s="138"/>
      <c r="D53" s="138"/>
      <c r="E53" s="38"/>
      <c r="F53" s="19" t="s">
        <v>35</v>
      </c>
      <c r="G53" s="24">
        <v>385</v>
      </c>
      <c r="H53" s="25">
        <f t="shared" si="4"/>
        <v>0</v>
      </c>
      <c r="I53" s="66"/>
      <c r="J53" s="83">
        <v>52002310</v>
      </c>
    </row>
    <row r="54" spans="1:10" s="76" customFormat="1" ht="21" customHeight="1" x14ac:dyDescent="0.25">
      <c r="A54" s="72" t="str">
        <f t="shared" si="3"/>
        <v/>
      </c>
      <c r="B54" s="137" t="s">
        <v>50</v>
      </c>
      <c r="C54" s="138"/>
      <c r="D54" s="138"/>
      <c r="E54" s="38"/>
      <c r="F54" s="19" t="s">
        <v>51</v>
      </c>
      <c r="G54" s="24">
        <v>4000</v>
      </c>
      <c r="H54" s="25">
        <f t="shared" si="4"/>
        <v>0</v>
      </c>
      <c r="I54" s="66"/>
      <c r="J54" s="83">
        <v>53028000</v>
      </c>
    </row>
    <row r="55" spans="1:10" s="76" customFormat="1" ht="21" customHeight="1" thickBot="1" x14ac:dyDescent="0.3">
      <c r="A55" s="72" t="str">
        <f>IF(AND(H55&lt;&gt;"",$D$10="City of Franklin")=TRUE,J55,"")</f>
        <v/>
      </c>
      <c r="B55" s="124" t="s">
        <v>52</v>
      </c>
      <c r="C55" s="126"/>
      <c r="D55" s="122" t="s">
        <v>53</v>
      </c>
      <c r="E55" s="122"/>
      <c r="F55" s="122"/>
      <c r="G55" s="123"/>
      <c r="H55" s="39"/>
      <c r="I55" s="66"/>
      <c r="J55" s="83">
        <v>54606000</v>
      </c>
    </row>
    <row r="56" spans="1:10" s="76" customFormat="1" ht="21" customHeight="1" thickTop="1" x14ac:dyDescent="0.25">
      <c r="A56" s="72" t="str">
        <f t="shared" ref="A56:A112" si="5">IF(E56&lt;&gt;"",J56,"")</f>
        <v/>
      </c>
      <c r="B56" s="140" t="s">
        <v>54</v>
      </c>
      <c r="C56" s="141"/>
      <c r="D56" s="141"/>
      <c r="E56" s="141"/>
      <c r="F56" s="141"/>
      <c r="G56" s="141"/>
      <c r="H56" s="40">
        <f>SUM(H48:H55)</f>
        <v>0</v>
      </c>
      <c r="I56" s="66"/>
      <c r="J56" s="83" t="s">
        <v>176</v>
      </c>
    </row>
    <row r="57" spans="1:10" s="76" customFormat="1" ht="6" customHeight="1" x14ac:dyDescent="0.25">
      <c r="A57" s="72" t="str">
        <f t="shared" si="5"/>
        <v/>
      </c>
      <c r="B57" s="153"/>
      <c r="C57" s="154"/>
      <c r="D57" s="154"/>
      <c r="E57" s="154"/>
      <c r="F57" s="154"/>
      <c r="G57" s="154"/>
      <c r="H57" s="155"/>
      <c r="I57" s="66"/>
      <c r="J57" s="83" t="s">
        <v>176</v>
      </c>
    </row>
    <row r="58" spans="1:10" s="76" customFormat="1" ht="48" customHeight="1" x14ac:dyDescent="0.25">
      <c r="A58" s="72" t="str">
        <f t="shared" si="5"/>
        <v/>
      </c>
      <c r="B58" s="192" t="s">
        <v>55</v>
      </c>
      <c r="C58" s="193"/>
      <c r="D58" s="185" t="s">
        <v>56</v>
      </c>
      <c r="E58" s="186"/>
      <c r="F58" s="186"/>
      <c r="G58" s="186"/>
      <c r="H58" s="187"/>
      <c r="I58" s="66"/>
      <c r="J58" s="83" t="s">
        <v>176</v>
      </c>
    </row>
    <row r="59" spans="1:10" s="86" customFormat="1" ht="19.899999999999999" customHeight="1" x14ac:dyDescent="0.25">
      <c r="A59" s="72"/>
      <c r="B59" s="194"/>
      <c r="C59" s="195"/>
      <c r="D59" s="116"/>
      <c r="E59" s="35" t="s">
        <v>31</v>
      </c>
      <c r="F59" s="36" t="s">
        <v>32</v>
      </c>
      <c r="G59" s="36" t="s">
        <v>33</v>
      </c>
      <c r="H59" s="37" t="s">
        <v>23</v>
      </c>
      <c r="I59" s="66"/>
      <c r="J59" s="85"/>
    </row>
    <row r="60" spans="1:10" s="76" customFormat="1" ht="21" customHeight="1" x14ac:dyDescent="0.25">
      <c r="A60" s="72" t="str">
        <f t="shared" si="5"/>
        <v/>
      </c>
      <c r="B60" s="137" t="s">
        <v>57</v>
      </c>
      <c r="C60" s="138"/>
      <c r="D60" s="138"/>
      <c r="E60" s="38"/>
      <c r="F60" s="19" t="s">
        <v>35</v>
      </c>
      <c r="G60" s="24">
        <v>255</v>
      </c>
      <c r="H60" s="25">
        <f t="shared" ref="H60:H75" si="6">E60*G60</f>
        <v>0</v>
      </c>
      <c r="I60" s="66"/>
      <c r="J60" s="83">
        <v>59002040</v>
      </c>
    </row>
    <row r="61" spans="1:10" s="76" customFormat="1" ht="21" customHeight="1" x14ac:dyDescent="0.25">
      <c r="A61" s="72" t="str">
        <f t="shared" si="5"/>
        <v/>
      </c>
      <c r="B61" s="137" t="s">
        <v>58</v>
      </c>
      <c r="C61" s="138"/>
      <c r="D61" s="138"/>
      <c r="E61" s="38"/>
      <c r="F61" s="19" t="s">
        <v>35</v>
      </c>
      <c r="G61" s="24">
        <v>280</v>
      </c>
      <c r="H61" s="25">
        <f t="shared" si="6"/>
        <v>0</v>
      </c>
      <c r="I61" s="66"/>
      <c r="J61" s="83">
        <v>60002520</v>
      </c>
    </row>
    <row r="62" spans="1:10" s="76" customFormat="1" ht="21" customHeight="1" x14ac:dyDescent="0.25">
      <c r="A62" s="72" t="str">
        <f t="shared" si="5"/>
        <v/>
      </c>
      <c r="B62" s="137" t="s">
        <v>59</v>
      </c>
      <c r="C62" s="138"/>
      <c r="D62" s="138"/>
      <c r="E62" s="38"/>
      <c r="F62" s="19" t="s">
        <v>35</v>
      </c>
      <c r="G62" s="24">
        <v>300</v>
      </c>
      <c r="H62" s="25">
        <f t="shared" si="6"/>
        <v>0</v>
      </c>
      <c r="I62" s="66"/>
      <c r="J62" s="83">
        <v>61003000</v>
      </c>
    </row>
    <row r="63" spans="1:10" s="76" customFormat="1" ht="21" customHeight="1" x14ac:dyDescent="0.25">
      <c r="A63" s="72" t="str">
        <f t="shared" si="5"/>
        <v/>
      </c>
      <c r="B63" s="137" t="s">
        <v>60</v>
      </c>
      <c r="C63" s="138"/>
      <c r="D63" s="138"/>
      <c r="E63" s="38"/>
      <c r="F63" s="19" t="s">
        <v>35</v>
      </c>
      <c r="G63" s="24">
        <v>320</v>
      </c>
      <c r="H63" s="25">
        <f t="shared" si="6"/>
        <v>0</v>
      </c>
      <c r="I63" s="66"/>
      <c r="J63" s="83">
        <v>62003520</v>
      </c>
    </row>
    <row r="64" spans="1:10" s="76" customFormat="1" ht="21" customHeight="1" x14ac:dyDescent="0.25">
      <c r="A64" s="72" t="str">
        <f t="shared" si="5"/>
        <v/>
      </c>
      <c r="B64" s="137" t="s">
        <v>61</v>
      </c>
      <c r="C64" s="138"/>
      <c r="D64" s="138"/>
      <c r="E64" s="38"/>
      <c r="F64" s="19" t="s">
        <v>35</v>
      </c>
      <c r="G64" s="24">
        <v>355</v>
      </c>
      <c r="H64" s="25">
        <f t="shared" si="6"/>
        <v>0</v>
      </c>
      <c r="I64" s="66"/>
      <c r="J64" s="83">
        <v>63004260</v>
      </c>
    </row>
    <row r="65" spans="1:10" s="76" customFormat="1" ht="21" customHeight="1" x14ac:dyDescent="0.25">
      <c r="A65" s="72" t="str">
        <f t="shared" si="5"/>
        <v/>
      </c>
      <c r="B65" s="137" t="s">
        <v>62</v>
      </c>
      <c r="C65" s="138"/>
      <c r="D65" s="138"/>
      <c r="E65" s="38"/>
      <c r="F65" s="19" t="s">
        <v>35</v>
      </c>
      <c r="G65" s="24">
        <v>390</v>
      </c>
      <c r="H65" s="25">
        <f t="shared" si="6"/>
        <v>0</v>
      </c>
      <c r="I65" s="66"/>
      <c r="J65" s="83">
        <v>64005070</v>
      </c>
    </row>
    <row r="66" spans="1:10" s="76" customFormat="1" ht="21" customHeight="1" x14ac:dyDescent="0.25">
      <c r="A66" s="72" t="str">
        <f t="shared" si="5"/>
        <v/>
      </c>
      <c r="B66" s="137" t="s">
        <v>63</v>
      </c>
      <c r="C66" s="138"/>
      <c r="D66" s="138"/>
      <c r="E66" s="38"/>
      <c r="F66" s="19" t="s">
        <v>35</v>
      </c>
      <c r="G66" s="24">
        <v>420</v>
      </c>
      <c r="H66" s="25">
        <f t="shared" si="6"/>
        <v>0</v>
      </c>
      <c r="I66" s="66"/>
      <c r="J66" s="83">
        <v>65005880</v>
      </c>
    </row>
    <row r="67" spans="1:10" s="76" customFormat="1" ht="21" customHeight="1" x14ac:dyDescent="0.25">
      <c r="A67" s="72" t="str">
        <f t="shared" si="5"/>
        <v/>
      </c>
      <c r="B67" s="148" t="s">
        <v>64</v>
      </c>
      <c r="C67" s="149"/>
      <c r="D67" s="149"/>
      <c r="E67" s="38"/>
      <c r="F67" s="19" t="s">
        <v>51</v>
      </c>
      <c r="G67" s="24">
        <v>7000</v>
      </c>
      <c r="H67" s="25">
        <f t="shared" si="6"/>
        <v>0</v>
      </c>
      <c r="I67" s="66"/>
      <c r="J67" s="83">
        <v>66105000</v>
      </c>
    </row>
    <row r="68" spans="1:10" s="76" customFormat="1" ht="21" customHeight="1" x14ac:dyDescent="0.25">
      <c r="A68" s="72" t="str">
        <f t="shared" si="5"/>
        <v/>
      </c>
      <c r="B68" s="137" t="s">
        <v>65</v>
      </c>
      <c r="C68" s="138"/>
      <c r="D68" s="138"/>
      <c r="E68" s="38"/>
      <c r="F68" s="19" t="s">
        <v>51</v>
      </c>
      <c r="G68" s="24">
        <v>8000</v>
      </c>
      <c r="H68" s="25">
        <f t="shared" si="6"/>
        <v>0</v>
      </c>
      <c r="I68" s="66"/>
      <c r="J68" s="83">
        <v>67128000</v>
      </c>
    </row>
    <row r="69" spans="1:10" s="76" customFormat="1" ht="21" customHeight="1" x14ac:dyDescent="0.25">
      <c r="A69" s="72" t="str">
        <f t="shared" si="5"/>
        <v/>
      </c>
      <c r="B69" s="137" t="s">
        <v>66</v>
      </c>
      <c r="C69" s="138"/>
      <c r="D69" s="138"/>
      <c r="E69" s="38"/>
      <c r="F69" s="19" t="s">
        <v>35</v>
      </c>
      <c r="G69" s="24">
        <v>110</v>
      </c>
      <c r="H69" s="25">
        <f t="shared" si="6"/>
        <v>0</v>
      </c>
      <c r="I69" s="66"/>
      <c r="J69" s="83">
        <v>68001870</v>
      </c>
    </row>
    <row r="70" spans="1:10" s="76" customFormat="1" ht="21" customHeight="1" x14ac:dyDescent="0.25">
      <c r="A70" s="72" t="str">
        <f t="shared" si="5"/>
        <v/>
      </c>
      <c r="B70" s="137" t="s">
        <v>67</v>
      </c>
      <c r="C70" s="138"/>
      <c r="D70" s="138"/>
      <c r="E70" s="38"/>
      <c r="F70" s="19" t="s">
        <v>35</v>
      </c>
      <c r="G70" s="24">
        <v>160</v>
      </c>
      <c r="H70" s="25">
        <f t="shared" si="6"/>
        <v>0</v>
      </c>
      <c r="I70" s="66"/>
      <c r="J70" s="83">
        <v>69002880</v>
      </c>
    </row>
    <row r="71" spans="1:10" s="76" customFormat="1" ht="21" customHeight="1" x14ac:dyDescent="0.25">
      <c r="A71" s="72" t="str">
        <f t="shared" si="5"/>
        <v/>
      </c>
      <c r="B71" s="137" t="s">
        <v>68</v>
      </c>
      <c r="C71" s="138"/>
      <c r="D71" s="138"/>
      <c r="E71" s="38"/>
      <c r="F71" s="19" t="s">
        <v>35</v>
      </c>
      <c r="G71" s="24">
        <v>200</v>
      </c>
      <c r="H71" s="25">
        <f t="shared" si="6"/>
        <v>0</v>
      </c>
      <c r="I71" s="66"/>
      <c r="J71" s="83">
        <v>70003800</v>
      </c>
    </row>
    <row r="72" spans="1:10" s="76" customFormat="1" ht="21" customHeight="1" x14ac:dyDescent="0.25">
      <c r="A72" s="72" t="str">
        <f t="shared" si="5"/>
        <v/>
      </c>
      <c r="B72" s="137" t="s">
        <v>69</v>
      </c>
      <c r="C72" s="138"/>
      <c r="D72" s="138"/>
      <c r="E72" s="38"/>
      <c r="F72" s="19" t="s">
        <v>35</v>
      </c>
      <c r="G72" s="24">
        <v>220</v>
      </c>
      <c r="H72" s="25">
        <f t="shared" si="6"/>
        <v>0</v>
      </c>
      <c r="I72" s="66"/>
      <c r="J72" s="83">
        <v>71004400</v>
      </c>
    </row>
    <row r="73" spans="1:10" s="76" customFormat="1" ht="21" customHeight="1" x14ac:dyDescent="0.25">
      <c r="A73" s="72" t="str">
        <f t="shared" si="5"/>
        <v/>
      </c>
      <c r="B73" s="137" t="s">
        <v>70</v>
      </c>
      <c r="C73" s="138"/>
      <c r="D73" s="138"/>
      <c r="E73" s="38"/>
      <c r="F73" s="19" t="s">
        <v>35</v>
      </c>
      <c r="G73" s="24">
        <v>250</v>
      </c>
      <c r="H73" s="25">
        <f t="shared" si="6"/>
        <v>0</v>
      </c>
      <c r="I73" s="66"/>
      <c r="J73" s="83">
        <v>72005250</v>
      </c>
    </row>
    <row r="74" spans="1:10" s="76" customFormat="1" ht="21" customHeight="1" x14ac:dyDescent="0.25">
      <c r="A74" s="72" t="str">
        <f t="shared" si="5"/>
        <v/>
      </c>
      <c r="B74" s="137" t="s">
        <v>71</v>
      </c>
      <c r="C74" s="138"/>
      <c r="D74" s="138"/>
      <c r="E74" s="38"/>
      <c r="F74" s="19" t="s">
        <v>35</v>
      </c>
      <c r="G74" s="24">
        <v>305</v>
      </c>
      <c r="H74" s="25">
        <f t="shared" si="6"/>
        <v>0</v>
      </c>
      <c r="I74" s="66"/>
      <c r="J74" s="83">
        <v>73006710</v>
      </c>
    </row>
    <row r="75" spans="1:10" s="76" customFormat="1" ht="21" customHeight="1" x14ac:dyDescent="0.25">
      <c r="A75" s="72" t="str">
        <f t="shared" si="5"/>
        <v/>
      </c>
      <c r="B75" s="137" t="s">
        <v>72</v>
      </c>
      <c r="C75" s="138"/>
      <c r="D75" s="138"/>
      <c r="E75" s="38"/>
      <c r="F75" s="19" t="s">
        <v>35</v>
      </c>
      <c r="G75" s="24">
        <v>325</v>
      </c>
      <c r="H75" s="25">
        <f t="shared" si="6"/>
        <v>0</v>
      </c>
      <c r="I75" s="66"/>
      <c r="J75" s="83">
        <v>74007475</v>
      </c>
    </row>
    <row r="76" spans="1:10" s="76" customFormat="1" ht="21" customHeight="1" x14ac:dyDescent="0.25">
      <c r="A76" s="72" t="str">
        <f t="shared" si="5"/>
        <v/>
      </c>
      <c r="B76" s="137" t="s">
        <v>73</v>
      </c>
      <c r="C76" s="138"/>
      <c r="D76" s="138"/>
      <c r="E76" s="38"/>
      <c r="F76" s="19" t="s">
        <v>35</v>
      </c>
      <c r="G76" s="24">
        <v>115</v>
      </c>
      <c r="H76" s="25">
        <f t="shared" ref="H76:H81" si="7">E76*G76</f>
        <v>0</v>
      </c>
      <c r="I76" s="66"/>
      <c r="J76" s="83">
        <v>75002760</v>
      </c>
    </row>
    <row r="77" spans="1:10" s="76" customFormat="1" ht="21" customHeight="1" x14ac:dyDescent="0.25">
      <c r="A77" s="72" t="str">
        <f t="shared" si="5"/>
        <v/>
      </c>
      <c r="B77" s="137" t="s">
        <v>74</v>
      </c>
      <c r="C77" s="138"/>
      <c r="D77" s="138"/>
      <c r="E77" s="38"/>
      <c r="F77" s="19" t="s">
        <v>35</v>
      </c>
      <c r="G77" s="24">
        <v>135</v>
      </c>
      <c r="H77" s="25">
        <f t="shared" si="7"/>
        <v>0</v>
      </c>
      <c r="I77" s="66"/>
      <c r="J77" s="83">
        <v>76003375</v>
      </c>
    </row>
    <row r="78" spans="1:10" s="76" customFormat="1" ht="21" customHeight="1" x14ac:dyDescent="0.25">
      <c r="A78" s="72" t="str">
        <f t="shared" si="5"/>
        <v/>
      </c>
      <c r="B78" s="137" t="s">
        <v>75</v>
      </c>
      <c r="C78" s="138"/>
      <c r="D78" s="138"/>
      <c r="E78" s="38"/>
      <c r="F78" s="19" t="s">
        <v>35</v>
      </c>
      <c r="G78" s="24">
        <v>160</v>
      </c>
      <c r="H78" s="25">
        <f t="shared" si="7"/>
        <v>0</v>
      </c>
      <c r="I78" s="66"/>
      <c r="J78" s="83">
        <v>77004160</v>
      </c>
    </row>
    <row r="79" spans="1:10" s="76" customFormat="1" ht="21" customHeight="1" x14ac:dyDescent="0.25">
      <c r="A79" s="72" t="str">
        <f t="shared" si="5"/>
        <v/>
      </c>
      <c r="B79" s="137" t="s">
        <v>76</v>
      </c>
      <c r="C79" s="138"/>
      <c r="D79" s="138"/>
      <c r="E79" s="38"/>
      <c r="F79" s="19" t="s">
        <v>35</v>
      </c>
      <c r="G79" s="24">
        <v>200</v>
      </c>
      <c r="H79" s="25">
        <f t="shared" si="7"/>
        <v>0</v>
      </c>
      <c r="I79" s="66"/>
      <c r="J79" s="83">
        <v>78005400</v>
      </c>
    </row>
    <row r="80" spans="1:10" s="76" customFormat="1" ht="21" customHeight="1" x14ac:dyDescent="0.25">
      <c r="A80" s="72" t="str">
        <f t="shared" si="5"/>
        <v/>
      </c>
      <c r="B80" s="137" t="s">
        <v>77</v>
      </c>
      <c r="C80" s="138"/>
      <c r="D80" s="138"/>
      <c r="E80" s="38"/>
      <c r="F80" s="19" t="s">
        <v>35</v>
      </c>
      <c r="G80" s="24">
        <v>220</v>
      </c>
      <c r="H80" s="25">
        <f t="shared" si="7"/>
        <v>0</v>
      </c>
      <c r="I80" s="66"/>
      <c r="J80" s="83">
        <v>79006160</v>
      </c>
    </row>
    <row r="81" spans="1:10" s="76" customFormat="1" ht="21" customHeight="1" x14ac:dyDescent="0.25">
      <c r="A81" s="72" t="str">
        <f t="shared" si="5"/>
        <v/>
      </c>
      <c r="B81" s="137" t="s">
        <v>78</v>
      </c>
      <c r="C81" s="138"/>
      <c r="D81" s="138"/>
      <c r="E81" s="38"/>
      <c r="F81" s="19" t="s">
        <v>35</v>
      </c>
      <c r="G81" s="24">
        <v>250</v>
      </c>
      <c r="H81" s="25">
        <f t="shared" si="7"/>
        <v>0</v>
      </c>
      <c r="I81" s="66"/>
      <c r="J81" s="83">
        <v>80007250</v>
      </c>
    </row>
    <row r="82" spans="1:10" s="76" customFormat="1" ht="21" customHeight="1" thickBot="1" x14ac:dyDescent="0.3">
      <c r="A82" s="72" t="str">
        <f>IF(H82&lt;&gt;"",J82,"")</f>
        <v/>
      </c>
      <c r="B82" s="124" t="s">
        <v>79</v>
      </c>
      <c r="C82" s="125"/>
      <c r="D82" s="121" t="s">
        <v>53</v>
      </c>
      <c r="E82" s="122"/>
      <c r="F82" s="122"/>
      <c r="G82" s="123"/>
      <c r="H82" s="39"/>
      <c r="I82" s="66"/>
      <c r="J82" s="83">
        <v>81505000</v>
      </c>
    </row>
    <row r="83" spans="1:10" s="76" customFormat="1" ht="21" customHeight="1" thickTop="1" x14ac:dyDescent="0.25">
      <c r="A83" s="72"/>
      <c r="B83" s="140" t="s">
        <v>80</v>
      </c>
      <c r="C83" s="141"/>
      <c r="D83" s="141"/>
      <c r="E83" s="141"/>
      <c r="F83" s="141"/>
      <c r="G83" s="141"/>
      <c r="H83" s="40">
        <f>SUM(H60:H82)</f>
        <v>0</v>
      </c>
      <c r="I83" s="66"/>
      <c r="J83" s="83"/>
    </row>
    <row r="84" spans="1:10" s="76" customFormat="1" ht="6" customHeight="1" x14ac:dyDescent="0.25">
      <c r="A84" s="72"/>
      <c r="B84" s="153"/>
      <c r="C84" s="154"/>
      <c r="D84" s="154"/>
      <c r="E84" s="154"/>
      <c r="F84" s="154"/>
      <c r="G84" s="154"/>
      <c r="H84" s="155"/>
      <c r="I84" s="66"/>
      <c r="J84" s="83"/>
    </row>
    <row r="85" spans="1:10" s="76" customFormat="1" ht="80.25" customHeight="1" x14ac:dyDescent="0.25">
      <c r="A85" s="72"/>
      <c r="B85" s="217" t="s">
        <v>81</v>
      </c>
      <c r="C85" s="143" t="s">
        <v>82</v>
      </c>
      <c r="D85" s="143"/>
      <c r="E85" s="144"/>
      <c r="F85" s="144"/>
      <c r="G85" s="144"/>
      <c r="H85" s="145"/>
      <c r="I85" s="66"/>
      <c r="J85" s="83"/>
    </row>
    <row r="86" spans="1:10" s="86" customFormat="1" ht="19.899999999999999" customHeight="1" x14ac:dyDescent="0.25">
      <c r="A86" s="72"/>
      <c r="B86" s="217"/>
      <c r="C86" s="108"/>
      <c r="D86" s="107"/>
      <c r="E86" s="35" t="s">
        <v>31</v>
      </c>
      <c r="F86" s="36" t="s">
        <v>32</v>
      </c>
      <c r="G86" s="36" t="s">
        <v>33</v>
      </c>
      <c r="H86" s="37" t="s">
        <v>23</v>
      </c>
      <c r="I86" s="66"/>
      <c r="J86" s="85"/>
    </row>
    <row r="87" spans="1:10" s="76" customFormat="1" ht="31.5" customHeight="1" x14ac:dyDescent="0.25">
      <c r="A87" s="72" t="str">
        <f t="shared" si="5"/>
        <v/>
      </c>
      <c r="B87" s="152" t="s">
        <v>83</v>
      </c>
      <c r="C87" s="168"/>
      <c r="D87" s="168"/>
      <c r="E87" s="38"/>
      <c r="F87" s="19" t="s">
        <v>84</v>
      </c>
      <c r="G87" s="24">
        <v>12</v>
      </c>
      <c r="H87" s="25">
        <f>G87*E87</f>
        <v>0</v>
      </c>
      <c r="I87" s="66"/>
      <c r="J87" s="83">
        <v>86000360</v>
      </c>
    </row>
    <row r="88" spans="1:10" s="76" customFormat="1" ht="31.5" customHeight="1" x14ac:dyDescent="0.25">
      <c r="A88" s="72" t="str">
        <f t="shared" si="5"/>
        <v/>
      </c>
      <c r="B88" s="152" t="s">
        <v>85</v>
      </c>
      <c r="C88" s="168"/>
      <c r="D88" s="168"/>
      <c r="E88" s="38"/>
      <c r="F88" s="19" t="s">
        <v>84</v>
      </c>
      <c r="G88" s="24">
        <v>12</v>
      </c>
      <c r="H88" s="25">
        <f>G88*E88</f>
        <v>0</v>
      </c>
      <c r="I88" s="66"/>
      <c r="J88" s="83">
        <v>87000372</v>
      </c>
    </row>
    <row r="89" spans="1:10" s="76" customFormat="1" ht="31.5" customHeight="1" x14ac:dyDescent="0.25">
      <c r="A89" s="72" t="str">
        <f t="shared" si="5"/>
        <v/>
      </c>
      <c r="B89" s="152" t="s">
        <v>86</v>
      </c>
      <c r="C89" s="168"/>
      <c r="D89" s="168"/>
      <c r="E89" s="38"/>
      <c r="F89" s="19" t="s">
        <v>84</v>
      </c>
      <c r="G89" s="24">
        <v>21</v>
      </c>
      <c r="H89" s="25">
        <f>G89*E89</f>
        <v>0</v>
      </c>
      <c r="I89" s="66"/>
      <c r="J89" s="83">
        <v>88000672</v>
      </c>
    </row>
    <row r="90" spans="1:10" s="76" customFormat="1" ht="31.5" customHeight="1" x14ac:dyDescent="0.25">
      <c r="A90" s="72" t="str">
        <f t="shared" si="5"/>
        <v/>
      </c>
      <c r="B90" s="152" t="s">
        <v>87</v>
      </c>
      <c r="C90" s="168"/>
      <c r="D90" s="168"/>
      <c r="E90" s="38"/>
      <c r="F90" s="19" t="s">
        <v>84</v>
      </c>
      <c r="G90" s="24">
        <v>5</v>
      </c>
      <c r="H90" s="25">
        <f>G90*E90</f>
        <v>0</v>
      </c>
      <c r="I90" s="66"/>
      <c r="J90" s="83">
        <v>89000165</v>
      </c>
    </row>
    <row r="91" spans="1:10" s="76" customFormat="1" ht="31.5" customHeight="1" thickBot="1" x14ac:dyDescent="0.3">
      <c r="A91" s="72" t="str">
        <f t="shared" si="5"/>
        <v/>
      </c>
      <c r="B91" s="152" t="s">
        <v>88</v>
      </c>
      <c r="C91" s="168"/>
      <c r="D91" s="168"/>
      <c r="E91" s="38"/>
      <c r="F91" s="19" t="s">
        <v>51</v>
      </c>
      <c r="G91" s="24">
        <v>1300</v>
      </c>
      <c r="H91" s="25">
        <f>G91*E91</f>
        <v>0</v>
      </c>
      <c r="I91" s="66"/>
      <c r="J91" s="83">
        <v>90044200</v>
      </c>
    </row>
    <row r="92" spans="1:10" s="76" customFormat="1" ht="21" customHeight="1" thickTop="1" x14ac:dyDescent="0.25">
      <c r="A92" s="72"/>
      <c r="B92" s="140" t="s">
        <v>89</v>
      </c>
      <c r="C92" s="141"/>
      <c r="D92" s="141"/>
      <c r="E92" s="141"/>
      <c r="F92" s="141"/>
      <c r="G92" s="141"/>
      <c r="H92" s="40">
        <f>SUM(H87:H91)</f>
        <v>0</v>
      </c>
      <c r="I92" s="66"/>
      <c r="J92" s="83"/>
    </row>
    <row r="93" spans="1:10" s="76" customFormat="1" ht="6" customHeight="1" x14ac:dyDescent="0.25">
      <c r="A93" s="72"/>
      <c r="B93" s="153"/>
      <c r="C93" s="154"/>
      <c r="D93" s="154"/>
      <c r="E93" s="154"/>
      <c r="F93" s="154"/>
      <c r="G93" s="154"/>
      <c r="H93" s="155"/>
      <c r="I93" s="66"/>
      <c r="J93" s="83"/>
    </row>
    <row r="94" spans="1:10" s="76" customFormat="1" ht="6" customHeight="1" x14ac:dyDescent="0.25">
      <c r="A94" s="72"/>
      <c r="B94" s="214"/>
      <c r="C94" s="215"/>
      <c r="D94" s="215"/>
      <c r="E94" s="215"/>
      <c r="F94" s="215"/>
      <c r="G94" s="215"/>
      <c r="H94" s="216"/>
      <c r="I94" s="66"/>
      <c r="J94" s="83"/>
    </row>
    <row r="95" spans="1:10" s="76" customFormat="1" ht="48" customHeight="1" x14ac:dyDescent="0.25">
      <c r="A95" s="72"/>
      <c r="B95" s="217" t="s">
        <v>90</v>
      </c>
      <c r="C95" s="143" t="s">
        <v>91</v>
      </c>
      <c r="D95" s="143"/>
      <c r="E95" s="143"/>
      <c r="F95" s="143"/>
      <c r="G95" s="143"/>
      <c r="H95" s="169"/>
      <c r="I95" s="66"/>
      <c r="J95" s="83"/>
    </row>
    <row r="96" spans="1:10" s="76" customFormat="1" ht="17.850000000000001" customHeight="1" x14ac:dyDescent="0.25">
      <c r="A96" s="72"/>
      <c r="B96" s="217"/>
      <c r="C96" s="170" t="str">
        <f>HYPERLINK("https://www.tn.gov/tdot/traffic-design/highway-entrance-permits.html","(https://www.tn.gov/tdot/traffic-design/highway-entrance-permits.html)")</f>
        <v>(https://www.tn.gov/tdot/traffic-design/highway-entrance-permits.html)</v>
      </c>
      <c r="D96" s="170"/>
      <c r="E96" s="170"/>
      <c r="F96" s="170"/>
      <c r="G96" s="170"/>
      <c r="H96" s="171"/>
      <c r="I96" s="66"/>
      <c r="J96" s="83"/>
    </row>
    <row r="97" spans="1:10" s="76" customFormat="1" ht="35.450000000000003" customHeight="1" x14ac:dyDescent="0.25">
      <c r="A97" s="72"/>
      <c r="B97" s="217"/>
      <c r="C97" s="143" t="s">
        <v>92</v>
      </c>
      <c r="D97" s="143"/>
      <c r="E97" s="143"/>
      <c r="F97" s="143"/>
      <c r="G97" s="143"/>
      <c r="H97" s="169"/>
      <c r="I97" s="66"/>
      <c r="J97" s="83"/>
    </row>
    <row r="98" spans="1:10" s="86" customFormat="1" ht="21" customHeight="1" x14ac:dyDescent="0.25">
      <c r="A98" s="72"/>
      <c r="B98" s="217"/>
      <c r="C98" s="108"/>
      <c r="D98" s="107"/>
      <c r="E98" s="35" t="s">
        <v>31</v>
      </c>
      <c r="F98" s="36" t="s">
        <v>32</v>
      </c>
      <c r="G98" s="36" t="s">
        <v>33</v>
      </c>
      <c r="H98" s="37" t="s">
        <v>23</v>
      </c>
      <c r="I98" s="66"/>
      <c r="J98" s="85"/>
    </row>
    <row r="99" spans="1:10" s="76" customFormat="1" ht="21" customHeight="1" x14ac:dyDescent="0.25">
      <c r="A99" s="72" t="str">
        <f t="shared" si="5"/>
        <v/>
      </c>
      <c r="B99" s="137" t="s">
        <v>93</v>
      </c>
      <c r="C99" s="138"/>
      <c r="D99" s="138"/>
      <c r="E99" s="38"/>
      <c r="F99" s="19" t="s">
        <v>94</v>
      </c>
      <c r="G99" s="24">
        <v>65</v>
      </c>
      <c r="H99" s="25">
        <f t="shared" ref="H99:H100" si="8">E99*G99</f>
        <v>0</v>
      </c>
      <c r="I99" s="66"/>
      <c r="J99" s="83">
        <v>98002080</v>
      </c>
    </row>
    <row r="100" spans="1:10" s="76" customFormat="1" ht="21" customHeight="1" x14ac:dyDescent="0.25">
      <c r="A100" s="72" t="str">
        <f t="shared" si="5"/>
        <v/>
      </c>
      <c r="B100" s="137" t="s">
        <v>95</v>
      </c>
      <c r="C100" s="138"/>
      <c r="D100" s="138"/>
      <c r="E100" s="38"/>
      <c r="F100" s="19" t="s">
        <v>94</v>
      </c>
      <c r="G100" s="24">
        <v>85</v>
      </c>
      <c r="H100" s="25">
        <f t="shared" si="8"/>
        <v>0</v>
      </c>
      <c r="I100" s="66"/>
      <c r="J100" s="83">
        <v>99003060</v>
      </c>
    </row>
    <row r="101" spans="1:10" s="76" customFormat="1" ht="21" customHeight="1" x14ac:dyDescent="0.25">
      <c r="A101" s="72" t="str">
        <f t="shared" si="5"/>
        <v/>
      </c>
      <c r="B101" s="137" t="s">
        <v>96</v>
      </c>
      <c r="C101" s="138"/>
      <c r="D101" s="138"/>
      <c r="E101" s="38"/>
      <c r="F101" s="19" t="s">
        <v>94</v>
      </c>
      <c r="G101" s="24">
        <v>105</v>
      </c>
      <c r="H101" s="25">
        <f>E101*G101</f>
        <v>0</v>
      </c>
      <c r="I101" s="66"/>
      <c r="J101" s="83">
        <v>100003885</v>
      </c>
    </row>
    <row r="102" spans="1:10" s="76" customFormat="1" ht="21" customHeight="1" x14ac:dyDescent="0.25">
      <c r="A102" s="72" t="str">
        <f t="shared" si="5"/>
        <v/>
      </c>
      <c r="B102" s="158" t="s">
        <v>173</v>
      </c>
      <c r="C102" s="159"/>
      <c r="D102" s="160"/>
      <c r="E102" s="38"/>
      <c r="F102" s="19" t="s">
        <v>94</v>
      </c>
      <c r="G102" s="24">
        <v>22</v>
      </c>
      <c r="H102" s="25">
        <f>E102*G102</f>
        <v>0</v>
      </c>
      <c r="I102" s="66"/>
      <c r="J102" s="83">
        <v>101000836</v>
      </c>
    </row>
    <row r="103" spans="1:10" s="76" customFormat="1" ht="21" customHeight="1" x14ac:dyDescent="0.25">
      <c r="A103" s="72" t="str">
        <f t="shared" si="5"/>
        <v/>
      </c>
      <c r="B103" s="137" t="s">
        <v>97</v>
      </c>
      <c r="C103" s="138"/>
      <c r="D103" s="138"/>
      <c r="E103" s="38"/>
      <c r="F103" s="19" t="s">
        <v>84</v>
      </c>
      <c r="G103" s="24">
        <v>10</v>
      </c>
      <c r="H103" s="25">
        <f t="shared" ref="H103" si="9">E103*G103</f>
        <v>0</v>
      </c>
      <c r="I103" s="66"/>
      <c r="J103" s="83">
        <v>102000390</v>
      </c>
    </row>
    <row r="104" spans="1:10" s="76" customFormat="1" ht="21" customHeight="1" x14ac:dyDescent="0.25">
      <c r="A104" s="72" t="str">
        <f t="shared" si="5"/>
        <v/>
      </c>
      <c r="B104" s="137" t="s">
        <v>98</v>
      </c>
      <c r="C104" s="138"/>
      <c r="D104" s="138"/>
      <c r="E104" s="38"/>
      <c r="F104" s="19" t="s">
        <v>84</v>
      </c>
      <c r="G104" s="24">
        <v>14</v>
      </c>
      <c r="H104" s="25">
        <f>E104*G104</f>
        <v>0</v>
      </c>
      <c r="I104" s="66"/>
      <c r="J104" s="83">
        <v>103000560</v>
      </c>
    </row>
    <row r="105" spans="1:10" s="76" customFormat="1" ht="21" customHeight="1" x14ac:dyDescent="0.25">
      <c r="A105" s="72" t="str">
        <f t="shared" si="5"/>
        <v/>
      </c>
      <c r="B105" s="137" t="s">
        <v>99</v>
      </c>
      <c r="C105" s="138"/>
      <c r="D105" s="138"/>
      <c r="E105" s="38"/>
      <c r="F105" s="19" t="s">
        <v>35</v>
      </c>
      <c r="G105" s="24">
        <v>13</v>
      </c>
      <c r="H105" s="25">
        <f>E105*G105</f>
        <v>0</v>
      </c>
      <c r="I105" s="66"/>
      <c r="J105" s="83">
        <v>104000533</v>
      </c>
    </row>
    <row r="106" spans="1:10" s="76" customFormat="1" ht="21" customHeight="1" x14ac:dyDescent="0.25">
      <c r="A106" s="72" t="str">
        <f t="shared" si="5"/>
        <v/>
      </c>
      <c r="B106" s="137" t="s">
        <v>100</v>
      </c>
      <c r="C106" s="138"/>
      <c r="D106" s="138"/>
      <c r="E106" s="38"/>
      <c r="F106" s="19" t="s">
        <v>35</v>
      </c>
      <c r="G106" s="24">
        <v>15</v>
      </c>
      <c r="H106" s="25">
        <f>E106*G106</f>
        <v>0</v>
      </c>
      <c r="I106" s="66"/>
      <c r="J106" s="83">
        <v>105000630</v>
      </c>
    </row>
    <row r="107" spans="1:10" s="76" customFormat="1" ht="21" customHeight="1" thickBot="1" x14ac:dyDescent="0.3">
      <c r="A107" s="72" t="str">
        <f>IF(H107&lt;&gt;0,J107,"")</f>
        <v/>
      </c>
      <c r="B107" s="124" t="s">
        <v>101</v>
      </c>
      <c r="C107" s="125"/>
      <c r="D107" s="127" t="s">
        <v>102</v>
      </c>
      <c r="E107" s="128"/>
      <c r="F107" s="128"/>
      <c r="G107" s="129"/>
      <c r="H107" s="25">
        <f>SUM(H99:H106)*0.05</f>
        <v>0</v>
      </c>
      <c r="I107" s="66"/>
      <c r="J107" s="83">
        <v>106000598.7</v>
      </c>
    </row>
    <row r="108" spans="1:10" s="76" customFormat="1" ht="21" customHeight="1" thickTop="1" x14ac:dyDescent="0.25">
      <c r="A108" s="72" t="str">
        <f t="shared" si="5"/>
        <v/>
      </c>
      <c r="B108" s="140" t="s">
        <v>103</v>
      </c>
      <c r="C108" s="141"/>
      <c r="D108" s="141"/>
      <c r="E108" s="141"/>
      <c r="F108" s="141"/>
      <c r="G108" s="141"/>
      <c r="H108" s="40">
        <f>SUM(H99:H107)</f>
        <v>0</v>
      </c>
      <c r="I108" s="66"/>
      <c r="J108" s="83"/>
    </row>
    <row r="109" spans="1:10" s="76" customFormat="1" ht="6" customHeight="1" x14ac:dyDescent="0.25">
      <c r="A109" s="72" t="str">
        <f t="shared" si="5"/>
        <v/>
      </c>
      <c r="B109" s="153"/>
      <c r="C109" s="154"/>
      <c r="D109" s="154"/>
      <c r="E109" s="154"/>
      <c r="F109" s="154"/>
      <c r="G109" s="154"/>
      <c r="H109" s="155"/>
      <c r="I109" s="66"/>
      <c r="J109" s="83"/>
    </row>
    <row r="110" spans="1:10" s="76" customFormat="1" ht="48" customHeight="1" x14ac:dyDescent="0.25">
      <c r="A110" s="72" t="str">
        <f t="shared" si="5"/>
        <v/>
      </c>
      <c r="B110" s="142" t="s">
        <v>104</v>
      </c>
      <c r="C110" s="143" t="s">
        <v>105</v>
      </c>
      <c r="D110" s="143"/>
      <c r="E110" s="144"/>
      <c r="F110" s="144"/>
      <c r="G110" s="144"/>
      <c r="H110" s="145"/>
      <c r="I110" s="66"/>
      <c r="J110" s="83"/>
    </row>
    <row r="111" spans="1:10" s="76" customFormat="1" ht="19.899999999999999" customHeight="1" x14ac:dyDescent="0.25">
      <c r="A111" s="72"/>
      <c r="B111" s="142"/>
      <c r="C111" s="109"/>
      <c r="D111" s="110"/>
      <c r="E111" s="35" t="s">
        <v>31</v>
      </c>
      <c r="F111" s="36" t="s">
        <v>32</v>
      </c>
      <c r="G111" s="36" t="s">
        <v>33</v>
      </c>
      <c r="H111" s="37" t="s">
        <v>23</v>
      </c>
      <c r="I111" s="66"/>
      <c r="J111" s="83"/>
    </row>
    <row r="112" spans="1:10" s="76" customFormat="1" ht="21" customHeight="1" x14ac:dyDescent="0.25">
      <c r="A112" s="72" t="str">
        <f t="shared" si="5"/>
        <v/>
      </c>
      <c r="B112" s="137" t="s">
        <v>106</v>
      </c>
      <c r="C112" s="138"/>
      <c r="D112" s="138"/>
      <c r="E112" s="38"/>
      <c r="F112" s="19" t="s">
        <v>94</v>
      </c>
      <c r="G112" s="24">
        <v>55</v>
      </c>
      <c r="H112" s="25">
        <f>E112*G112</f>
        <v>0</v>
      </c>
      <c r="I112" s="66"/>
      <c r="J112" s="83">
        <v>111002365</v>
      </c>
    </row>
    <row r="113" spans="1:10" s="76" customFormat="1" ht="21" customHeight="1" x14ac:dyDescent="0.25">
      <c r="A113" s="72" t="str">
        <f t="shared" ref="A113:A167" si="10">IF(E113&lt;&gt;"",J113,"")</f>
        <v/>
      </c>
      <c r="B113" s="137" t="s">
        <v>107</v>
      </c>
      <c r="C113" s="138"/>
      <c r="D113" s="138"/>
      <c r="E113" s="38"/>
      <c r="F113" s="19" t="s">
        <v>94</v>
      </c>
      <c r="G113" s="24">
        <v>65</v>
      </c>
      <c r="H113" s="25">
        <f t="shared" ref="H113:H118" si="11">E113*G113</f>
        <v>0</v>
      </c>
      <c r="I113" s="66"/>
      <c r="J113" s="83">
        <v>112002860</v>
      </c>
    </row>
    <row r="114" spans="1:10" s="76" customFormat="1" ht="21" customHeight="1" x14ac:dyDescent="0.25">
      <c r="A114" s="72" t="str">
        <f t="shared" si="10"/>
        <v/>
      </c>
      <c r="B114" s="137" t="s">
        <v>108</v>
      </c>
      <c r="C114" s="138"/>
      <c r="D114" s="138"/>
      <c r="E114" s="38"/>
      <c r="F114" s="19" t="s">
        <v>94</v>
      </c>
      <c r="G114" s="24">
        <v>85</v>
      </c>
      <c r="H114" s="25">
        <f t="shared" si="11"/>
        <v>0</v>
      </c>
      <c r="I114" s="66"/>
      <c r="J114" s="83">
        <v>113003825</v>
      </c>
    </row>
    <row r="115" spans="1:10" s="76" customFormat="1" ht="21" customHeight="1" x14ac:dyDescent="0.25">
      <c r="A115" s="72" t="str">
        <f t="shared" si="10"/>
        <v/>
      </c>
      <c r="B115" s="137" t="s">
        <v>109</v>
      </c>
      <c r="C115" s="138"/>
      <c r="D115" s="138"/>
      <c r="E115" s="38"/>
      <c r="F115" s="19" t="s">
        <v>84</v>
      </c>
      <c r="G115" s="24">
        <v>10</v>
      </c>
      <c r="H115" s="25">
        <f t="shared" si="11"/>
        <v>0</v>
      </c>
      <c r="I115" s="66"/>
      <c r="J115" s="83">
        <v>115000470</v>
      </c>
    </row>
    <row r="116" spans="1:10" s="76" customFormat="1" ht="21" customHeight="1" x14ac:dyDescent="0.25">
      <c r="A116" s="72" t="str">
        <f t="shared" si="10"/>
        <v/>
      </c>
      <c r="B116" s="137" t="s">
        <v>110</v>
      </c>
      <c r="C116" s="138"/>
      <c r="D116" s="138"/>
      <c r="E116" s="38"/>
      <c r="F116" s="19" t="s">
        <v>84</v>
      </c>
      <c r="G116" s="24">
        <v>14</v>
      </c>
      <c r="H116" s="25">
        <f t="shared" si="11"/>
        <v>0</v>
      </c>
      <c r="I116" s="66"/>
      <c r="J116" s="83">
        <v>116000672</v>
      </c>
    </row>
    <row r="117" spans="1:10" s="76" customFormat="1" ht="21" customHeight="1" x14ac:dyDescent="0.25">
      <c r="A117" s="72" t="str">
        <f t="shared" si="10"/>
        <v/>
      </c>
      <c r="B117" s="137" t="s">
        <v>99</v>
      </c>
      <c r="C117" s="138"/>
      <c r="D117" s="138"/>
      <c r="E117" s="38"/>
      <c r="F117" s="19" t="s">
        <v>35</v>
      </c>
      <c r="G117" s="24">
        <v>13</v>
      </c>
      <c r="H117" s="25">
        <f t="shared" si="11"/>
        <v>0</v>
      </c>
      <c r="I117" s="66"/>
      <c r="J117" s="83">
        <v>117000637</v>
      </c>
    </row>
    <row r="118" spans="1:10" s="76" customFormat="1" ht="21" customHeight="1" x14ac:dyDescent="0.25">
      <c r="A118" s="72" t="str">
        <f t="shared" si="10"/>
        <v/>
      </c>
      <c r="B118" s="137" t="s">
        <v>100</v>
      </c>
      <c r="C118" s="138"/>
      <c r="D118" s="138"/>
      <c r="E118" s="38"/>
      <c r="F118" s="19" t="s">
        <v>35</v>
      </c>
      <c r="G118" s="24">
        <v>15</v>
      </c>
      <c r="H118" s="25">
        <f t="shared" si="11"/>
        <v>0</v>
      </c>
      <c r="I118" s="66"/>
      <c r="J118" s="83">
        <v>118000750</v>
      </c>
    </row>
    <row r="119" spans="1:10" s="76" customFormat="1" ht="21" customHeight="1" thickBot="1" x14ac:dyDescent="0.3">
      <c r="A119" s="72" t="str">
        <f>IF(H119&lt;&gt;0,J119,"")</f>
        <v/>
      </c>
      <c r="B119" s="124" t="s">
        <v>101</v>
      </c>
      <c r="C119" s="126"/>
      <c r="D119" s="130" t="s">
        <v>102</v>
      </c>
      <c r="E119" s="130"/>
      <c r="F119" s="130"/>
      <c r="G119" s="131"/>
      <c r="H119" s="25">
        <f>SUM(H112:H118)*0.05</f>
        <v>0</v>
      </c>
      <c r="I119" s="66"/>
      <c r="J119" s="83">
        <v>119000820.45</v>
      </c>
    </row>
    <row r="120" spans="1:10" s="76" customFormat="1" ht="21" customHeight="1" thickTop="1" x14ac:dyDescent="0.25">
      <c r="A120" s="72" t="str">
        <f t="shared" si="10"/>
        <v/>
      </c>
      <c r="B120" s="140" t="s">
        <v>111</v>
      </c>
      <c r="C120" s="141"/>
      <c r="D120" s="141"/>
      <c r="E120" s="141"/>
      <c r="F120" s="141"/>
      <c r="G120" s="141"/>
      <c r="H120" s="40">
        <f>SUM(H112:H119)</f>
        <v>0</v>
      </c>
      <c r="I120" s="66"/>
      <c r="J120" s="83"/>
    </row>
    <row r="121" spans="1:10" s="76" customFormat="1" ht="6" customHeight="1" x14ac:dyDescent="0.25">
      <c r="A121" s="72" t="str">
        <f t="shared" si="10"/>
        <v/>
      </c>
      <c r="B121" s="153"/>
      <c r="C121" s="154"/>
      <c r="D121" s="154"/>
      <c r="E121" s="154"/>
      <c r="F121" s="154"/>
      <c r="G121" s="154"/>
      <c r="H121" s="155"/>
      <c r="I121" s="66"/>
      <c r="J121" s="83"/>
    </row>
    <row r="122" spans="1:10" s="76" customFormat="1" ht="24" customHeight="1" x14ac:dyDescent="0.25">
      <c r="A122" s="72"/>
      <c r="B122" s="156" t="s">
        <v>112</v>
      </c>
      <c r="C122" s="157"/>
      <c r="D122" s="157"/>
      <c r="E122" s="162" t="s">
        <v>31</v>
      </c>
      <c r="F122" s="164" t="s">
        <v>32</v>
      </c>
      <c r="G122" s="164" t="s">
        <v>33</v>
      </c>
      <c r="H122" s="166" t="s">
        <v>23</v>
      </c>
      <c r="I122" s="66"/>
      <c r="J122" s="83"/>
    </row>
    <row r="123" spans="1:10" s="76" customFormat="1" ht="79.900000000000006" customHeight="1" x14ac:dyDescent="0.25">
      <c r="A123" s="72" t="str">
        <f t="shared" si="10"/>
        <v/>
      </c>
      <c r="B123" s="152" t="s">
        <v>174</v>
      </c>
      <c r="C123" s="138"/>
      <c r="D123" s="138"/>
      <c r="E123" s="163"/>
      <c r="F123" s="165"/>
      <c r="G123" s="165"/>
      <c r="H123" s="167"/>
      <c r="I123" s="66"/>
      <c r="J123" s="83"/>
    </row>
    <row r="124" spans="1:10" s="76" customFormat="1" ht="19.899999999999999" customHeight="1" x14ac:dyDescent="0.25">
      <c r="A124" s="72" t="str">
        <f t="shared" si="10"/>
        <v/>
      </c>
      <c r="B124" s="152" t="s">
        <v>175</v>
      </c>
      <c r="C124" s="138"/>
      <c r="D124" s="138"/>
      <c r="E124" s="38"/>
      <c r="F124" s="19" t="s">
        <v>51</v>
      </c>
      <c r="G124" s="24">
        <v>10000</v>
      </c>
      <c r="H124" s="25">
        <f>E124*G124</f>
        <v>0</v>
      </c>
      <c r="I124" s="66"/>
      <c r="J124" s="83">
        <v>124010000</v>
      </c>
    </row>
    <row r="125" spans="1:10" s="76" customFormat="1" ht="6" customHeight="1" x14ac:dyDescent="0.25">
      <c r="A125" s="72" t="str">
        <f t="shared" si="10"/>
        <v/>
      </c>
      <c r="B125" s="153"/>
      <c r="C125" s="154"/>
      <c r="D125" s="154"/>
      <c r="E125" s="154"/>
      <c r="F125" s="154"/>
      <c r="G125" s="154"/>
      <c r="H125" s="155"/>
      <c r="I125" s="66"/>
      <c r="J125" s="83" t="s">
        <v>176</v>
      </c>
    </row>
    <row r="126" spans="1:10" s="76" customFormat="1" ht="24" customHeight="1" x14ac:dyDescent="0.25">
      <c r="A126" s="72"/>
      <c r="B126" s="161" t="s">
        <v>113</v>
      </c>
      <c r="C126" s="157"/>
      <c r="D126" s="157"/>
      <c r="E126" s="35" t="s">
        <v>31</v>
      </c>
      <c r="F126" s="36" t="s">
        <v>32</v>
      </c>
      <c r="G126" s="36" t="s">
        <v>33</v>
      </c>
      <c r="H126" s="37" t="s">
        <v>23</v>
      </c>
      <c r="I126" s="66"/>
      <c r="J126" s="83"/>
    </row>
    <row r="127" spans="1:10" s="76" customFormat="1" ht="24" customHeight="1" x14ac:dyDescent="0.25">
      <c r="A127" s="72" t="str">
        <f t="shared" si="10"/>
        <v/>
      </c>
      <c r="B127" s="137" t="s">
        <v>114</v>
      </c>
      <c r="C127" s="138"/>
      <c r="D127" s="138"/>
      <c r="E127" s="38"/>
      <c r="F127" s="19" t="s">
        <v>51</v>
      </c>
      <c r="G127" s="24">
        <v>10000</v>
      </c>
      <c r="H127" s="25">
        <f>E127*G127</f>
        <v>0</v>
      </c>
      <c r="I127" s="66"/>
      <c r="J127" s="83">
        <v>127020000</v>
      </c>
    </row>
    <row r="128" spans="1:10" s="76" customFormat="1" ht="6" customHeight="1" x14ac:dyDescent="0.25">
      <c r="A128" s="72"/>
      <c r="B128" s="153"/>
      <c r="C128" s="154"/>
      <c r="D128" s="154"/>
      <c r="E128" s="154"/>
      <c r="F128" s="154"/>
      <c r="G128" s="154"/>
      <c r="H128" s="155"/>
      <c r="I128" s="66"/>
      <c r="J128" s="83" t="s">
        <v>176</v>
      </c>
    </row>
    <row r="129" spans="1:10" s="76" customFormat="1" ht="24" customHeight="1" x14ac:dyDescent="0.25">
      <c r="A129" s="72"/>
      <c r="B129" s="161" t="s">
        <v>115</v>
      </c>
      <c r="C129" s="157"/>
      <c r="D129" s="157"/>
      <c r="E129" s="35" t="s">
        <v>31</v>
      </c>
      <c r="F129" s="36" t="s">
        <v>32</v>
      </c>
      <c r="G129" s="36" t="s">
        <v>33</v>
      </c>
      <c r="H129" s="37" t="s">
        <v>23</v>
      </c>
      <c r="I129" s="66"/>
      <c r="J129" s="83"/>
    </row>
    <row r="130" spans="1:10" s="76" customFormat="1" ht="24" customHeight="1" x14ac:dyDescent="0.25">
      <c r="A130" s="72" t="str">
        <f t="shared" si="10"/>
        <v/>
      </c>
      <c r="B130" s="137" t="s">
        <v>116</v>
      </c>
      <c r="C130" s="138"/>
      <c r="D130" s="138"/>
      <c r="E130" s="38"/>
      <c r="F130" s="19" t="s">
        <v>51</v>
      </c>
      <c r="G130" s="24">
        <v>200000</v>
      </c>
      <c r="H130" s="25">
        <f>E130*G130</f>
        <v>0</v>
      </c>
      <c r="I130" s="66"/>
      <c r="J130" s="83">
        <v>130600000</v>
      </c>
    </row>
    <row r="131" spans="1:10" s="76" customFormat="1" ht="24" customHeight="1" thickBot="1" x14ac:dyDescent="0.3">
      <c r="A131" s="72" t="str">
        <f t="shared" si="10"/>
        <v/>
      </c>
      <c r="B131" s="137" t="s">
        <v>117</v>
      </c>
      <c r="C131" s="138"/>
      <c r="D131" s="138"/>
      <c r="E131" s="38"/>
      <c r="F131" s="19" t="s">
        <v>51</v>
      </c>
      <c r="G131" s="24">
        <v>400000</v>
      </c>
      <c r="H131" s="25">
        <f>E131*G131</f>
        <v>0</v>
      </c>
      <c r="I131" s="66"/>
      <c r="J131" s="83">
        <v>132600000</v>
      </c>
    </row>
    <row r="132" spans="1:10" s="76" customFormat="1" ht="24" customHeight="1" thickTop="1" x14ac:dyDescent="0.25">
      <c r="A132" s="72" t="str">
        <f t="shared" si="10"/>
        <v/>
      </c>
      <c r="B132" s="140" t="s">
        <v>118</v>
      </c>
      <c r="C132" s="141"/>
      <c r="D132" s="141"/>
      <c r="E132" s="141"/>
      <c r="F132" s="141"/>
      <c r="G132" s="141"/>
      <c r="H132" s="40">
        <f>SUM(H130:H131)</f>
        <v>0</v>
      </c>
      <c r="I132" s="66"/>
      <c r="J132" s="83"/>
    </row>
    <row r="133" spans="1:10" s="76" customFormat="1" ht="6" customHeight="1" x14ac:dyDescent="0.25">
      <c r="A133" s="72" t="str">
        <f t="shared" si="10"/>
        <v/>
      </c>
      <c r="B133" s="153"/>
      <c r="C133" s="154"/>
      <c r="D133" s="154"/>
      <c r="E133" s="154"/>
      <c r="F133" s="154"/>
      <c r="G133" s="154"/>
      <c r="H133" s="155"/>
      <c r="I133" s="66"/>
      <c r="J133" s="83"/>
    </row>
    <row r="134" spans="1:10" s="76" customFormat="1" ht="24" customHeight="1" x14ac:dyDescent="0.25">
      <c r="A134" s="72"/>
      <c r="B134" s="161" t="s">
        <v>119</v>
      </c>
      <c r="C134" s="157"/>
      <c r="D134" s="157"/>
      <c r="E134" s="35" t="s">
        <v>31</v>
      </c>
      <c r="F134" s="36" t="s">
        <v>32</v>
      </c>
      <c r="G134" s="36" t="s">
        <v>33</v>
      </c>
      <c r="H134" s="37" t="s">
        <v>23</v>
      </c>
      <c r="I134" s="66"/>
      <c r="J134" s="83"/>
    </row>
    <row r="135" spans="1:10" s="76" customFormat="1" ht="21" customHeight="1" x14ac:dyDescent="0.25">
      <c r="A135" s="72" t="str">
        <f t="shared" si="10"/>
        <v/>
      </c>
      <c r="B135" s="137" t="s">
        <v>120</v>
      </c>
      <c r="C135" s="138"/>
      <c r="D135" s="138"/>
      <c r="E135" s="38"/>
      <c r="F135" s="19" t="s">
        <v>35</v>
      </c>
      <c r="G135" s="24">
        <v>37</v>
      </c>
      <c r="H135" s="25">
        <f t="shared" ref="H135:H142" si="12">E135*G135</f>
        <v>0</v>
      </c>
      <c r="I135" s="66"/>
      <c r="J135" s="83">
        <v>135000185</v>
      </c>
    </row>
    <row r="136" spans="1:10" s="76" customFormat="1" ht="21" customHeight="1" x14ac:dyDescent="0.25">
      <c r="A136" s="72" t="str">
        <f t="shared" si="10"/>
        <v/>
      </c>
      <c r="B136" s="137" t="s">
        <v>121</v>
      </c>
      <c r="C136" s="138"/>
      <c r="D136" s="138"/>
      <c r="E136" s="38"/>
      <c r="F136" s="19" t="s">
        <v>35</v>
      </c>
      <c r="G136" s="24">
        <v>15</v>
      </c>
      <c r="H136" s="25">
        <f t="shared" si="12"/>
        <v>0</v>
      </c>
      <c r="I136" s="66"/>
      <c r="J136" s="83">
        <v>136000090</v>
      </c>
    </row>
    <row r="137" spans="1:10" s="76" customFormat="1" ht="21" customHeight="1" x14ac:dyDescent="0.25">
      <c r="A137" s="72" t="str">
        <f t="shared" si="10"/>
        <v/>
      </c>
      <c r="B137" s="137" t="s">
        <v>122</v>
      </c>
      <c r="C137" s="138"/>
      <c r="D137" s="138"/>
      <c r="E137" s="38"/>
      <c r="F137" s="19" t="s">
        <v>51</v>
      </c>
      <c r="G137" s="24">
        <v>2200</v>
      </c>
      <c r="H137" s="25">
        <f t="shared" si="12"/>
        <v>0</v>
      </c>
      <c r="I137" s="66"/>
      <c r="J137" s="83">
        <v>137015400</v>
      </c>
    </row>
    <row r="138" spans="1:10" s="76" customFormat="1" ht="21" customHeight="1" x14ac:dyDescent="0.25">
      <c r="A138" s="72" t="str">
        <f t="shared" si="10"/>
        <v/>
      </c>
      <c r="B138" s="137" t="s">
        <v>123</v>
      </c>
      <c r="C138" s="138"/>
      <c r="D138" s="138"/>
      <c r="E138" s="38"/>
      <c r="F138" s="19" t="s">
        <v>35</v>
      </c>
      <c r="G138" s="24">
        <v>4</v>
      </c>
      <c r="H138" s="25">
        <f t="shared" si="12"/>
        <v>0</v>
      </c>
      <c r="I138" s="66"/>
      <c r="J138" s="83">
        <v>138000032</v>
      </c>
    </row>
    <row r="139" spans="1:10" s="76" customFormat="1" ht="21" customHeight="1" x14ac:dyDescent="0.25">
      <c r="A139" s="72" t="str">
        <f t="shared" si="10"/>
        <v/>
      </c>
      <c r="B139" s="137" t="s">
        <v>124</v>
      </c>
      <c r="C139" s="138"/>
      <c r="D139" s="138"/>
      <c r="E139" s="38"/>
      <c r="F139" s="19" t="s">
        <v>51</v>
      </c>
      <c r="G139" s="24">
        <v>80000</v>
      </c>
      <c r="H139" s="25">
        <f t="shared" si="12"/>
        <v>0</v>
      </c>
      <c r="I139" s="66"/>
      <c r="J139" s="83">
        <v>139720000</v>
      </c>
    </row>
    <row r="140" spans="1:10" s="76" customFormat="1" ht="21" customHeight="1" x14ac:dyDescent="0.25">
      <c r="A140" s="72" t="str">
        <f t="shared" si="10"/>
        <v/>
      </c>
      <c r="B140" s="158" t="s">
        <v>125</v>
      </c>
      <c r="C140" s="159"/>
      <c r="D140" s="160"/>
      <c r="E140" s="38"/>
      <c r="F140" s="19" t="s">
        <v>51</v>
      </c>
      <c r="G140" s="24">
        <v>7500</v>
      </c>
      <c r="H140" s="25">
        <f t="shared" si="12"/>
        <v>0</v>
      </c>
      <c r="I140" s="66"/>
      <c r="J140" s="83">
        <v>140075000</v>
      </c>
    </row>
    <row r="141" spans="1:10" s="76" customFormat="1" ht="21" customHeight="1" x14ac:dyDescent="0.25">
      <c r="A141" s="72" t="str">
        <f t="shared" si="10"/>
        <v/>
      </c>
      <c r="B141" s="158" t="s">
        <v>126</v>
      </c>
      <c r="C141" s="159"/>
      <c r="D141" s="160"/>
      <c r="E141" s="38"/>
      <c r="F141" s="19" t="s">
        <v>51</v>
      </c>
      <c r="G141" s="24">
        <v>5000</v>
      </c>
      <c r="H141" s="25">
        <f t="shared" si="12"/>
        <v>0</v>
      </c>
      <c r="I141" s="66"/>
      <c r="J141" s="83">
        <v>141055000</v>
      </c>
    </row>
    <row r="142" spans="1:10" s="76" customFormat="1" ht="21" customHeight="1" thickBot="1" x14ac:dyDescent="0.3">
      <c r="A142" s="72" t="str">
        <f t="shared" si="10"/>
        <v/>
      </c>
      <c r="B142" s="158" t="s">
        <v>127</v>
      </c>
      <c r="C142" s="159"/>
      <c r="D142" s="160"/>
      <c r="E142" s="38"/>
      <c r="F142" s="19" t="s">
        <v>51</v>
      </c>
      <c r="G142" s="24">
        <v>9000</v>
      </c>
      <c r="H142" s="25">
        <f t="shared" si="12"/>
        <v>0</v>
      </c>
      <c r="I142" s="66"/>
      <c r="J142" s="83">
        <v>142108000</v>
      </c>
    </row>
    <row r="143" spans="1:10" s="76" customFormat="1" ht="21" customHeight="1" thickTop="1" x14ac:dyDescent="0.25">
      <c r="A143" s="72"/>
      <c r="B143" s="140" t="s">
        <v>128</v>
      </c>
      <c r="C143" s="141"/>
      <c r="D143" s="141"/>
      <c r="E143" s="141"/>
      <c r="F143" s="141"/>
      <c r="G143" s="141"/>
      <c r="H143" s="40">
        <f>SUM(H135:H142)</f>
        <v>0</v>
      </c>
      <c r="I143" s="66"/>
      <c r="J143" s="83"/>
    </row>
    <row r="144" spans="1:10" s="76" customFormat="1" ht="6" customHeight="1" x14ac:dyDescent="0.25">
      <c r="A144" s="72"/>
      <c r="B144" s="153"/>
      <c r="C144" s="154"/>
      <c r="D144" s="154"/>
      <c r="E144" s="154"/>
      <c r="F144" s="154"/>
      <c r="G144" s="154"/>
      <c r="H144" s="155"/>
      <c r="I144" s="66"/>
      <c r="J144" s="83"/>
    </row>
    <row r="145" spans="1:10" s="76" customFormat="1" ht="6" customHeight="1" x14ac:dyDescent="0.25">
      <c r="A145" s="72"/>
      <c r="B145" s="214"/>
      <c r="C145" s="215"/>
      <c r="D145" s="215"/>
      <c r="E145" s="215"/>
      <c r="F145" s="215"/>
      <c r="G145" s="215"/>
      <c r="H145" s="216"/>
      <c r="I145" s="66"/>
      <c r="J145" s="83"/>
    </row>
    <row r="146" spans="1:10" s="76" customFormat="1" ht="48" customHeight="1" x14ac:dyDescent="0.25">
      <c r="A146" s="72"/>
      <c r="B146" s="142" t="s">
        <v>129</v>
      </c>
      <c r="C146" s="143" t="s">
        <v>130</v>
      </c>
      <c r="D146" s="143"/>
      <c r="E146" s="144"/>
      <c r="F146" s="144"/>
      <c r="G146" s="144"/>
      <c r="H146" s="145"/>
      <c r="I146" s="66"/>
      <c r="J146" s="83"/>
    </row>
    <row r="147" spans="1:10" s="76" customFormat="1" ht="19.899999999999999" customHeight="1" x14ac:dyDescent="0.25">
      <c r="A147" s="72"/>
      <c r="B147" s="142"/>
      <c r="C147" s="109"/>
      <c r="D147" s="110"/>
      <c r="E147" s="28" t="s">
        <v>31</v>
      </c>
      <c r="F147" s="29" t="s">
        <v>32</v>
      </c>
      <c r="G147" s="29" t="s">
        <v>33</v>
      </c>
      <c r="H147" s="30" t="s">
        <v>23</v>
      </c>
      <c r="I147" s="66"/>
      <c r="J147" s="83"/>
    </row>
    <row r="148" spans="1:10" s="76" customFormat="1" ht="21" customHeight="1" x14ac:dyDescent="0.25">
      <c r="A148" s="72" t="str">
        <f t="shared" si="10"/>
        <v/>
      </c>
      <c r="B148" s="137" t="s">
        <v>131</v>
      </c>
      <c r="C148" s="138"/>
      <c r="D148" s="138"/>
      <c r="E148" s="38"/>
      <c r="F148" s="19" t="s">
        <v>35</v>
      </c>
      <c r="G148" s="41">
        <v>125</v>
      </c>
      <c r="H148" s="25">
        <f t="shared" ref="H148:H157" si="13">E148*G148</f>
        <v>0</v>
      </c>
      <c r="I148" s="66"/>
      <c r="J148" s="83">
        <v>148001625</v>
      </c>
    </row>
    <row r="149" spans="1:10" s="76" customFormat="1" ht="21" customHeight="1" x14ac:dyDescent="0.25">
      <c r="A149" s="72" t="str">
        <f t="shared" si="10"/>
        <v/>
      </c>
      <c r="B149" s="137" t="s">
        <v>132</v>
      </c>
      <c r="C149" s="138"/>
      <c r="D149" s="138"/>
      <c r="E149" s="38"/>
      <c r="F149" s="19" t="s">
        <v>35</v>
      </c>
      <c r="G149" s="41">
        <v>125</v>
      </c>
      <c r="H149" s="25">
        <f t="shared" si="13"/>
        <v>0</v>
      </c>
      <c r="I149" s="66"/>
      <c r="J149" s="83">
        <v>149001750</v>
      </c>
    </row>
    <row r="150" spans="1:10" s="76" customFormat="1" ht="21" customHeight="1" x14ac:dyDescent="0.25">
      <c r="A150" s="72" t="str">
        <f t="shared" si="10"/>
        <v/>
      </c>
      <c r="B150" s="137" t="s">
        <v>133</v>
      </c>
      <c r="C150" s="138"/>
      <c r="D150" s="138"/>
      <c r="E150" s="38"/>
      <c r="F150" s="19" t="s">
        <v>35</v>
      </c>
      <c r="G150" s="41">
        <v>140</v>
      </c>
      <c r="H150" s="25">
        <f t="shared" si="13"/>
        <v>0</v>
      </c>
      <c r="I150" s="66"/>
      <c r="J150" s="83">
        <v>150002100</v>
      </c>
    </row>
    <row r="151" spans="1:10" s="76" customFormat="1" ht="21" customHeight="1" x14ac:dyDescent="0.25">
      <c r="A151" s="72" t="str">
        <f t="shared" si="10"/>
        <v/>
      </c>
      <c r="B151" s="137" t="s">
        <v>134</v>
      </c>
      <c r="C151" s="138"/>
      <c r="D151" s="138"/>
      <c r="E151" s="38"/>
      <c r="F151" s="19" t="s">
        <v>35</v>
      </c>
      <c r="G151" s="41">
        <v>155</v>
      </c>
      <c r="H151" s="25">
        <f t="shared" si="13"/>
        <v>0</v>
      </c>
      <c r="I151" s="66"/>
      <c r="J151" s="83">
        <v>151002480</v>
      </c>
    </row>
    <row r="152" spans="1:10" s="76" customFormat="1" ht="21" customHeight="1" x14ac:dyDescent="0.25">
      <c r="A152" s="72" t="str">
        <f t="shared" si="10"/>
        <v/>
      </c>
      <c r="B152" s="137" t="s">
        <v>135</v>
      </c>
      <c r="C152" s="138"/>
      <c r="D152" s="138"/>
      <c r="E152" s="38"/>
      <c r="F152" s="19" t="s">
        <v>35</v>
      </c>
      <c r="G152" s="41">
        <v>170</v>
      </c>
      <c r="H152" s="25">
        <f t="shared" si="13"/>
        <v>0</v>
      </c>
      <c r="I152" s="66"/>
      <c r="J152" s="83">
        <v>152002890</v>
      </c>
    </row>
    <row r="153" spans="1:10" s="76" customFormat="1" ht="21" customHeight="1" x14ac:dyDescent="0.25">
      <c r="A153" s="72" t="str">
        <f t="shared" si="10"/>
        <v/>
      </c>
      <c r="B153" s="137" t="s">
        <v>136</v>
      </c>
      <c r="C153" s="138"/>
      <c r="D153" s="138"/>
      <c r="E153" s="38"/>
      <c r="F153" s="19" t="s">
        <v>35</v>
      </c>
      <c r="G153" s="41">
        <v>200</v>
      </c>
      <c r="H153" s="25">
        <f t="shared" si="13"/>
        <v>0</v>
      </c>
      <c r="I153" s="66"/>
      <c r="J153" s="83">
        <v>153003600</v>
      </c>
    </row>
    <row r="154" spans="1:10" s="76" customFormat="1" ht="21" customHeight="1" x14ac:dyDescent="0.25">
      <c r="A154" s="72" t="str">
        <f t="shared" si="10"/>
        <v/>
      </c>
      <c r="B154" s="148" t="s">
        <v>137</v>
      </c>
      <c r="C154" s="149"/>
      <c r="D154" s="149"/>
      <c r="E154" s="38"/>
      <c r="F154" s="19" t="s">
        <v>35</v>
      </c>
      <c r="G154" s="41">
        <v>250</v>
      </c>
      <c r="H154" s="25">
        <f t="shared" si="13"/>
        <v>0</v>
      </c>
      <c r="I154" s="66"/>
      <c r="J154" s="83">
        <v>154004750</v>
      </c>
    </row>
    <row r="155" spans="1:10" s="76" customFormat="1" ht="21" customHeight="1" x14ac:dyDescent="0.25">
      <c r="A155" s="72" t="str">
        <f t="shared" si="10"/>
        <v/>
      </c>
      <c r="B155" s="148" t="s">
        <v>138</v>
      </c>
      <c r="C155" s="149"/>
      <c r="D155" s="149"/>
      <c r="E155" s="38"/>
      <c r="F155" s="19" t="s">
        <v>35</v>
      </c>
      <c r="G155" s="41">
        <v>325</v>
      </c>
      <c r="H155" s="25">
        <f t="shared" si="13"/>
        <v>0</v>
      </c>
      <c r="I155" s="66"/>
      <c r="J155" s="83">
        <v>155006500</v>
      </c>
    </row>
    <row r="156" spans="1:10" s="76" customFormat="1" ht="21" customHeight="1" x14ac:dyDescent="0.25">
      <c r="A156" s="72" t="str">
        <f t="shared" si="10"/>
        <v/>
      </c>
      <c r="B156" s="148" t="s">
        <v>139</v>
      </c>
      <c r="C156" s="149"/>
      <c r="D156" s="149"/>
      <c r="E156" s="38"/>
      <c r="F156" s="19" t="s">
        <v>35</v>
      </c>
      <c r="G156" s="41">
        <v>400</v>
      </c>
      <c r="H156" s="25">
        <f t="shared" si="13"/>
        <v>0</v>
      </c>
      <c r="I156" s="66"/>
      <c r="J156" s="83">
        <v>156008400</v>
      </c>
    </row>
    <row r="157" spans="1:10" s="76" customFormat="1" ht="21" customHeight="1" thickBot="1" x14ac:dyDescent="0.3">
      <c r="A157" s="72" t="str">
        <f t="shared" si="10"/>
        <v/>
      </c>
      <c r="B157" s="150" t="s">
        <v>140</v>
      </c>
      <c r="C157" s="151"/>
      <c r="D157" s="151"/>
      <c r="E157" s="42"/>
      <c r="F157" s="43" t="s">
        <v>35</v>
      </c>
      <c r="G157" s="44">
        <v>500</v>
      </c>
      <c r="H157" s="45">
        <f t="shared" si="13"/>
        <v>0</v>
      </c>
      <c r="I157" s="66"/>
      <c r="J157" s="83">
        <v>157011000</v>
      </c>
    </row>
    <row r="158" spans="1:10" s="76" customFormat="1" ht="21" customHeight="1" thickTop="1" x14ac:dyDescent="0.25">
      <c r="A158" s="72"/>
      <c r="B158" s="220" t="s">
        <v>141</v>
      </c>
      <c r="C158" s="221"/>
      <c r="D158" s="221"/>
      <c r="E158" s="221"/>
      <c r="F158" s="221"/>
      <c r="G158" s="221"/>
      <c r="H158" s="222"/>
      <c r="I158" s="66"/>
      <c r="J158" s="83"/>
    </row>
    <row r="159" spans="1:10" s="76" customFormat="1" ht="21" customHeight="1" x14ac:dyDescent="0.25">
      <c r="A159" s="72" t="str">
        <f t="shared" si="10"/>
        <v/>
      </c>
      <c r="B159" s="146"/>
      <c r="C159" s="147"/>
      <c r="D159" s="147"/>
      <c r="E159" s="38"/>
      <c r="F159" s="19" t="s">
        <v>35</v>
      </c>
      <c r="G159" s="46"/>
      <c r="H159" s="25">
        <f t="shared" ref="H159:H160" si="14">IF(G159="xx",0,G159*E159)</f>
        <v>0</v>
      </c>
      <c r="I159" s="66"/>
      <c r="J159" s="83">
        <v>159002323</v>
      </c>
    </row>
    <row r="160" spans="1:10" s="76" customFormat="1" ht="21" customHeight="1" thickBot="1" x14ac:dyDescent="0.3">
      <c r="A160" s="72" t="str">
        <f t="shared" si="10"/>
        <v/>
      </c>
      <c r="B160" s="231"/>
      <c r="C160" s="232"/>
      <c r="D160" s="232"/>
      <c r="E160" s="47"/>
      <c r="F160" s="48" t="s">
        <v>35</v>
      </c>
      <c r="G160" s="49"/>
      <c r="H160" s="50">
        <f t="shared" si="14"/>
        <v>0</v>
      </c>
      <c r="I160" s="66"/>
      <c r="J160" s="83">
        <v>160004848</v>
      </c>
    </row>
    <row r="161" spans="1:10" s="76" customFormat="1" ht="21" customHeight="1" thickTop="1" x14ac:dyDescent="0.25">
      <c r="A161" s="72" t="str">
        <f t="shared" si="10"/>
        <v/>
      </c>
      <c r="B161" s="229" t="s">
        <v>142</v>
      </c>
      <c r="C161" s="230"/>
      <c r="D161" s="230"/>
      <c r="E161" s="51"/>
      <c r="F161" s="52" t="s">
        <v>51</v>
      </c>
      <c r="G161" s="53">
        <v>5000</v>
      </c>
      <c r="H161" s="27">
        <f t="shared" ref="H161:H166" si="15">E161*G161</f>
        <v>0</v>
      </c>
      <c r="I161" s="66"/>
      <c r="J161" s="83">
        <v>161125000</v>
      </c>
    </row>
    <row r="162" spans="1:10" s="76" customFormat="1" ht="21" customHeight="1" x14ac:dyDescent="0.25">
      <c r="A162" s="72" t="str">
        <f t="shared" si="10"/>
        <v/>
      </c>
      <c r="B162" s="137" t="s">
        <v>143</v>
      </c>
      <c r="C162" s="138"/>
      <c r="D162" s="138"/>
      <c r="E162" s="38"/>
      <c r="F162" s="19" t="s">
        <v>51</v>
      </c>
      <c r="G162" s="41">
        <v>4500</v>
      </c>
      <c r="H162" s="25">
        <f t="shared" si="15"/>
        <v>0</v>
      </c>
      <c r="I162" s="66"/>
      <c r="J162" s="83">
        <v>162117000</v>
      </c>
    </row>
    <row r="163" spans="1:10" s="76" customFormat="1" ht="21" customHeight="1" x14ac:dyDescent="0.25">
      <c r="A163" s="72" t="str">
        <f t="shared" si="10"/>
        <v/>
      </c>
      <c r="B163" s="137" t="s">
        <v>144</v>
      </c>
      <c r="C163" s="138"/>
      <c r="D163" s="138"/>
      <c r="E163" s="38"/>
      <c r="F163" s="19" t="s">
        <v>51</v>
      </c>
      <c r="G163" s="41">
        <v>8500</v>
      </c>
      <c r="H163" s="25">
        <f t="shared" si="15"/>
        <v>0</v>
      </c>
      <c r="I163" s="66"/>
      <c r="J163" s="83">
        <v>163229500</v>
      </c>
    </row>
    <row r="164" spans="1:10" s="76" customFormat="1" ht="21" customHeight="1" x14ac:dyDescent="0.25">
      <c r="A164" s="72" t="str">
        <f t="shared" si="10"/>
        <v/>
      </c>
      <c r="B164" s="137" t="s">
        <v>145</v>
      </c>
      <c r="C164" s="138"/>
      <c r="D164" s="138"/>
      <c r="E164" s="38"/>
      <c r="F164" s="19" t="s">
        <v>51</v>
      </c>
      <c r="G164" s="41">
        <v>1500</v>
      </c>
      <c r="H164" s="25">
        <f t="shared" si="15"/>
        <v>0</v>
      </c>
      <c r="I164" s="66"/>
      <c r="J164" s="83">
        <v>164042000</v>
      </c>
    </row>
    <row r="165" spans="1:10" s="76" customFormat="1" ht="21" customHeight="1" x14ac:dyDescent="0.25">
      <c r="A165" s="72" t="str">
        <f t="shared" si="10"/>
        <v/>
      </c>
      <c r="B165" s="158" t="s">
        <v>146</v>
      </c>
      <c r="C165" s="159"/>
      <c r="D165" s="160"/>
      <c r="E165" s="38"/>
      <c r="F165" s="19" t="s">
        <v>41</v>
      </c>
      <c r="G165" s="41">
        <v>30</v>
      </c>
      <c r="H165" s="25">
        <f t="shared" si="15"/>
        <v>0</v>
      </c>
      <c r="I165" s="66"/>
      <c r="J165" s="83">
        <v>165000870</v>
      </c>
    </row>
    <row r="166" spans="1:10" s="76" customFormat="1" ht="21" customHeight="1" x14ac:dyDescent="0.25">
      <c r="A166" s="72" t="str">
        <f t="shared" si="10"/>
        <v/>
      </c>
      <c r="B166" s="158" t="s">
        <v>147</v>
      </c>
      <c r="C166" s="159"/>
      <c r="D166" s="160"/>
      <c r="E166" s="38"/>
      <c r="F166" s="19" t="s">
        <v>41</v>
      </c>
      <c r="G166" s="41">
        <v>40</v>
      </c>
      <c r="H166" s="25">
        <f t="shared" si="15"/>
        <v>0</v>
      </c>
      <c r="I166" s="66"/>
      <c r="J166" s="83">
        <v>166001200</v>
      </c>
    </row>
    <row r="167" spans="1:10" s="76" customFormat="1" ht="21" customHeight="1" thickBot="1" x14ac:dyDescent="0.3">
      <c r="A167" s="72" t="str">
        <f t="shared" si="10"/>
        <v/>
      </c>
      <c r="B167" s="218" t="s">
        <v>148</v>
      </c>
      <c r="C167" s="219"/>
      <c r="D167" s="219"/>
      <c r="E167" s="47"/>
      <c r="F167" s="48" t="s">
        <v>94</v>
      </c>
      <c r="G167" s="54">
        <v>12</v>
      </c>
      <c r="H167" s="50">
        <f>E167*G167</f>
        <v>0</v>
      </c>
      <c r="I167" s="66"/>
      <c r="J167" s="83">
        <v>167000372</v>
      </c>
    </row>
    <row r="168" spans="1:10" s="76" customFormat="1" ht="21" customHeight="1" thickTop="1" x14ac:dyDescent="0.25">
      <c r="A168" s="72"/>
      <c r="B168" s="223" t="s">
        <v>149</v>
      </c>
      <c r="C168" s="224"/>
      <c r="D168" s="224"/>
      <c r="E168" s="224"/>
      <c r="F168" s="224"/>
      <c r="G168" s="224"/>
      <c r="H168" s="225"/>
      <c r="I168" s="66"/>
      <c r="J168" s="83"/>
    </row>
    <row r="169" spans="1:10" s="76" customFormat="1" ht="21" customHeight="1" x14ac:dyDescent="0.25">
      <c r="A169" s="72" t="str">
        <f>IF(H169&lt;&gt;"",J169,"")</f>
        <v/>
      </c>
      <c r="B169" s="146"/>
      <c r="C169" s="147"/>
      <c r="D169" s="147"/>
      <c r="E169" s="147"/>
      <c r="F169" s="147"/>
      <c r="G169" s="147"/>
      <c r="H169" s="39"/>
      <c r="I169" s="66"/>
      <c r="J169" s="83">
        <v>169012000</v>
      </c>
    </row>
    <row r="170" spans="1:10" s="76" customFormat="1" ht="21" customHeight="1" x14ac:dyDescent="0.25">
      <c r="A170" s="72" t="str">
        <f t="shared" ref="A170:A174" si="16">IF(H170&lt;&gt;"",J170,"")</f>
        <v/>
      </c>
      <c r="B170" s="146"/>
      <c r="C170" s="147"/>
      <c r="D170" s="147"/>
      <c r="E170" s="147"/>
      <c r="F170" s="147"/>
      <c r="G170" s="147"/>
      <c r="H170" s="39"/>
      <c r="I170" s="66"/>
      <c r="J170" s="83">
        <v>170014000</v>
      </c>
    </row>
    <row r="171" spans="1:10" s="76" customFormat="1" ht="21" customHeight="1" x14ac:dyDescent="0.25">
      <c r="A171" s="72" t="str">
        <f t="shared" si="16"/>
        <v/>
      </c>
      <c r="B171" s="146"/>
      <c r="C171" s="147"/>
      <c r="D171" s="147"/>
      <c r="E171" s="147"/>
      <c r="F171" s="147"/>
      <c r="G171" s="147"/>
      <c r="H171" s="39"/>
      <c r="I171" s="66"/>
      <c r="J171" s="83">
        <v>171016000</v>
      </c>
    </row>
    <row r="172" spans="1:10" s="76" customFormat="1" ht="21" customHeight="1" x14ac:dyDescent="0.25">
      <c r="A172" s="72" t="str">
        <f t="shared" si="16"/>
        <v/>
      </c>
      <c r="B172" s="146"/>
      <c r="C172" s="147"/>
      <c r="D172" s="147"/>
      <c r="E172" s="147"/>
      <c r="F172" s="147"/>
      <c r="G172" s="147"/>
      <c r="H172" s="39"/>
      <c r="I172" s="66"/>
      <c r="J172" s="83">
        <v>172018000</v>
      </c>
    </row>
    <row r="173" spans="1:10" s="76" customFormat="1" ht="21" customHeight="1" x14ac:dyDescent="0.25">
      <c r="A173" s="72" t="str">
        <f t="shared" si="16"/>
        <v/>
      </c>
      <c r="B173" s="146"/>
      <c r="C173" s="147"/>
      <c r="D173" s="147"/>
      <c r="E173" s="147"/>
      <c r="F173" s="147"/>
      <c r="G173" s="147"/>
      <c r="H173" s="39"/>
      <c r="I173" s="66"/>
      <c r="J173" s="83">
        <v>173020000</v>
      </c>
    </row>
    <row r="174" spans="1:10" s="76" customFormat="1" ht="21" customHeight="1" thickBot="1" x14ac:dyDescent="0.3">
      <c r="A174" s="72" t="str">
        <f t="shared" si="16"/>
        <v/>
      </c>
      <c r="B174" s="146"/>
      <c r="C174" s="147"/>
      <c r="D174" s="147"/>
      <c r="E174" s="147"/>
      <c r="F174" s="147"/>
      <c r="G174" s="147"/>
      <c r="H174" s="39"/>
      <c r="I174" s="66"/>
      <c r="J174" s="83">
        <v>174022000</v>
      </c>
    </row>
    <row r="175" spans="1:10" s="76" customFormat="1" ht="21" customHeight="1" thickTop="1" x14ac:dyDescent="0.25">
      <c r="A175" s="72"/>
      <c r="B175" s="140" t="s">
        <v>150</v>
      </c>
      <c r="C175" s="141"/>
      <c r="D175" s="141"/>
      <c r="E175" s="141"/>
      <c r="F175" s="141"/>
      <c r="G175" s="141"/>
      <c r="H175" s="40">
        <f>SUM(H148:H174)</f>
        <v>0</v>
      </c>
      <c r="I175" s="66"/>
      <c r="J175" s="83"/>
    </row>
    <row r="176" spans="1:10" s="76" customFormat="1" ht="6" customHeight="1" x14ac:dyDescent="0.25">
      <c r="A176" s="72"/>
      <c r="B176" s="153"/>
      <c r="C176" s="154"/>
      <c r="D176" s="154"/>
      <c r="E176" s="154"/>
      <c r="F176" s="154"/>
      <c r="G176" s="154"/>
      <c r="H176" s="155"/>
      <c r="I176" s="66"/>
      <c r="J176" s="83"/>
    </row>
    <row r="177" spans="1:10" s="76" customFormat="1" ht="48" customHeight="1" x14ac:dyDescent="0.25">
      <c r="A177" s="72"/>
      <c r="B177" s="142" t="s">
        <v>151</v>
      </c>
      <c r="C177" s="143" t="s">
        <v>152</v>
      </c>
      <c r="D177" s="143"/>
      <c r="E177" s="144"/>
      <c r="F177" s="144"/>
      <c r="G177" s="144"/>
      <c r="H177" s="145"/>
      <c r="I177" s="66"/>
      <c r="J177" s="83"/>
    </row>
    <row r="178" spans="1:10" s="76" customFormat="1" ht="19.899999999999999" customHeight="1" x14ac:dyDescent="0.25">
      <c r="A178" s="72"/>
      <c r="B178" s="142"/>
      <c r="C178" s="109"/>
      <c r="D178" s="110"/>
      <c r="E178" s="28" t="s">
        <v>31</v>
      </c>
      <c r="F178" s="29" t="s">
        <v>32</v>
      </c>
      <c r="G178" s="29" t="s">
        <v>33</v>
      </c>
      <c r="H178" s="30" t="s">
        <v>23</v>
      </c>
      <c r="I178" s="66"/>
      <c r="J178" s="83"/>
    </row>
    <row r="179" spans="1:10" s="76" customFormat="1" ht="21" customHeight="1" x14ac:dyDescent="0.25">
      <c r="A179" s="72" t="str">
        <f t="shared" ref="A179:A188" si="17">IF(E179&lt;&gt;"",J179,"")</f>
        <v/>
      </c>
      <c r="B179" s="137" t="s">
        <v>153</v>
      </c>
      <c r="C179" s="138"/>
      <c r="D179" s="138"/>
      <c r="E179" s="38"/>
      <c r="F179" s="19" t="s">
        <v>84</v>
      </c>
      <c r="G179" s="41">
        <v>22</v>
      </c>
      <c r="H179" s="25">
        <f>E179*G179</f>
        <v>0</v>
      </c>
      <c r="I179" s="66"/>
      <c r="J179" s="83">
        <v>179000704</v>
      </c>
    </row>
    <row r="180" spans="1:10" s="76" customFormat="1" ht="21" customHeight="1" x14ac:dyDescent="0.25">
      <c r="A180" s="72" t="str">
        <f t="shared" si="17"/>
        <v/>
      </c>
      <c r="B180" s="137" t="s">
        <v>172</v>
      </c>
      <c r="C180" s="138"/>
      <c r="D180" s="138"/>
      <c r="E180" s="38"/>
      <c r="F180" s="19" t="s">
        <v>51</v>
      </c>
      <c r="G180" s="41">
        <v>10500</v>
      </c>
      <c r="H180" s="25">
        <f t="shared" ref="H180:H186" si="18">E180*G180</f>
        <v>0</v>
      </c>
      <c r="I180" s="66"/>
      <c r="J180" s="83">
        <v>180346500</v>
      </c>
    </row>
    <row r="181" spans="1:10" s="76" customFormat="1" ht="21" customHeight="1" x14ac:dyDescent="0.25">
      <c r="A181" s="72" t="str">
        <f t="shared" si="17"/>
        <v/>
      </c>
      <c r="B181" s="137" t="s">
        <v>154</v>
      </c>
      <c r="C181" s="138"/>
      <c r="D181" s="138"/>
      <c r="E181" s="38"/>
      <c r="F181" s="19" t="s">
        <v>155</v>
      </c>
      <c r="G181" s="41">
        <v>20</v>
      </c>
      <c r="H181" s="25">
        <f t="shared" si="18"/>
        <v>0</v>
      </c>
      <c r="I181" s="66"/>
      <c r="J181" s="83">
        <v>181000680</v>
      </c>
    </row>
    <row r="182" spans="1:10" s="76" customFormat="1" ht="21" customHeight="1" x14ac:dyDescent="0.25">
      <c r="A182" s="72" t="str">
        <f t="shared" si="17"/>
        <v/>
      </c>
      <c r="B182" s="137" t="s">
        <v>156</v>
      </c>
      <c r="C182" s="138"/>
      <c r="D182" s="138"/>
      <c r="E182" s="38"/>
      <c r="F182" s="19" t="s">
        <v>155</v>
      </c>
      <c r="G182" s="41">
        <v>20</v>
      </c>
      <c r="H182" s="25">
        <f t="shared" si="18"/>
        <v>0</v>
      </c>
      <c r="I182" s="66"/>
      <c r="J182" s="83">
        <v>182000700</v>
      </c>
    </row>
    <row r="183" spans="1:10" s="76" customFormat="1" ht="21" customHeight="1" x14ac:dyDescent="0.25">
      <c r="A183" s="72" t="str">
        <f t="shared" si="17"/>
        <v/>
      </c>
      <c r="B183" s="158" t="s">
        <v>157</v>
      </c>
      <c r="C183" s="159"/>
      <c r="D183" s="160"/>
      <c r="E183" s="38"/>
      <c r="F183" s="19" t="s">
        <v>84</v>
      </c>
      <c r="G183" s="41">
        <v>90</v>
      </c>
      <c r="H183" s="25">
        <f t="shared" si="18"/>
        <v>0</v>
      </c>
      <c r="I183" s="66"/>
      <c r="J183" s="83">
        <v>183003240</v>
      </c>
    </row>
    <row r="184" spans="1:10" s="76" customFormat="1" ht="21" customHeight="1" x14ac:dyDescent="0.25">
      <c r="A184" s="72" t="str">
        <f t="shared" si="17"/>
        <v/>
      </c>
      <c r="B184" s="137" t="s">
        <v>158</v>
      </c>
      <c r="C184" s="138"/>
      <c r="D184" s="138"/>
      <c r="E184" s="38"/>
      <c r="F184" s="19" t="s">
        <v>94</v>
      </c>
      <c r="G184" s="41">
        <v>40</v>
      </c>
      <c r="H184" s="25">
        <f t="shared" si="18"/>
        <v>0</v>
      </c>
      <c r="I184" s="66"/>
      <c r="J184" s="83">
        <v>184001480</v>
      </c>
    </row>
    <row r="185" spans="1:10" s="76" customFormat="1" ht="21" customHeight="1" x14ac:dyDescent="0.25">
      <c r="A185" s="72" t="str">
        <f t="shared" si="17"/>
        <v/>
      </c>
      <c r="B185" s="137" t="s">
        <v>159</v>
      </c>
      <c r="C185" s="138"/>
      <c r="D185" s="138"/>
      <c r="E185" s="38"/>
      <c r="F185" s="19" t="s">
        <v>94</v>
      </c>
      <c r="G185" s="41">
        <v>60</v>
      </c>
      <c r="H185" s="25">
        <f t="shared" si="18"/>
        <v>0</v>
      </c>
      <c r="I185" s="66"/>
      <c r="J185" s="83">
        <v>185002280</v>
      </c>
    </row>
    <row r="186" spans="1:10" s="76" customFormat="1" ht="21" customHeight="1" x14ac:dyDescent="0.25">
      <c r="A186" s="72" t="str">
        <f t="shared" si="17"/>
        <v/>
      </c>
      <c r="B186" s="137" t="s">
        <v>160</v>
      </c>
      <c r="C186" s="138"/>
      <c r="D186" s="138"/>
      <c r="E186" s="38"/>
      <c r="F186" s="19" t="s">
        <v>84</v>
      </c>
      <c r="G186" s="41">
        <v>4</v>
      </c>
      <c r="H186" s="25">
        <f t="shared" si="18"/>
        <v>0</v>
      </c>
      <c r="I186" s="66"/>
      <c r="J186" s="83">
        <v>186000156</v>
      </c>
    </row>
    <row r="187" spans="1:10" s="76" customFormat="1" ht="21" customHeight="1" x14ac:dyDescent="0.25">
      <c r="A187" s="72" t="str">
        <f t="shared" si="17"/>
        <v/>
      </c>
      <c r="B187" s="137" t="s">
        <v>161</v>
      </c>
      <c r="C187" s="138"/>
      <c r="D187" s="138"/>
      <c r="E187" s="38"/>
      <c r="F187" s="19" t="s">
        <v>35</v>
      </c>
      <c r="G187" s="41">
        <v>15</v>
      </c>
      <c r="H187" s="25">
        <f>E187*G187</f>
        <v>0</v>
      </c>
      <c r="I187" s="66"/>
      <c r="J187" s="83">
        <v>187000600</v>
      </c>
    </row>
    <row r="188" spans="1:10" s="76" customFormat="1" ht="21" customHeight="1" thickBot="1" x14ac:dyDescent="0.3">
      <c r="A188" s="72" t="str">
        <f t="shared" si="17"/>
        <v/>
      </c>
      <c r="B188" s="218" t="s">
        <v>162</v>
      </c>
      <c r="C188" s="219"/>
      <c r="D188" s="219"/>
      <c r="E188" s="47"/>
      <c r="F188" s="48" t="s">
        <v>84</v>
      </c>
      <c r="G188" s="54">
        <v>20</v>
      </c>
      <c r="H188" s="50">
        <f t="shared" ref="H188" si="19">E188*G188</f>
        <v>0</v>
      </c>
      <c r="I188" s="66"/>
      <c r="J188" s="83">
        <v>188000820</v>
      </c>
    </row>
    <row r="189" spans="1:10" s="76" customFormat="1" ht="21" customHeight="1" thickTop="1" x14ac:dyDescent="0.25">
      <c r="A189" s="72"/>
      <c r="B189" s="205" t="s">
        <v>163</v>
      </c>
      <c r="C189" s="206"/>
      <c r="D189" s="206"/>
      <c r="E189" s="206"/>
      <c r="F189" s="206"/>
      <c r="G189" s="206"/>
      <c r="H189" s="207"/>
      <c r="I189" s="66"/>
      <c r="J189" s="83"/>
    </row>
    <row r="190" spans="1:10" s="76" customFormat="1" ht="21" customHeight="1" x14ac:dyDescent="0.25">
      <c r="A190" s="72" t="str">
        <f>IF(H190&lt;&gt;"",J190,"")</f>
        <v/>
      </c>
      <c r="B190" s="146"/>
      <c r="C190" s="147"/>
      <c r="D190" s="147"/>
      <c r="E190" s="147"/>
      <c r="F190" s="147"/>
      <c r="G190" s="147"/>
      <c r="H190" s="39"/>
      <c r="I190" s="66"/>
      <c r="J190" s="83">
        <v>190030000</v>
      </c>
    </row>
    <row r="191" spans="1:10" s="76" customFormat="1" ht="21" customHeight="1" x14ac:dyDescent="0.25">
      <c r="A191" s="72" t="str">
        <f t="shared" ref="A191:A195" si="20">IF(H191&lt;&gt;"",J191,"")</f>
        <v/>
      </c>
      <c r="B191" s="146"/>
      <c r="C191" s="147"/>
      <c r="D191" s="147"/>
      <c r="E191" s="147"/>
      <c r="F191" s="147"/>
      <c r="G191" s="147"/>
      <c r="H191" s="39"/>
      <c r="I191" s="66"/>
      <c r="J191" s="83">
        <v>191032000</v>
      </c>
    </row>
    <row r="192" spans="1:10" s="76" customFormat="1" ht="21" customHeight="1" x14ac:dyDescent="0.25">
      <c r="A192" s="72" t="str">
        <f t="shared" si="20"/>
        <v/>
      </c>
      <c r="B192" s="146"/>
      <c r="C192" s="147"/>
      <c r="D192" s="147"/>
      <c r="E192" s="147"/>
      <c r="F192" s="147"/>
      <c r="G192" s="147"/>
      <c r="H192" s="39"/>
      <c r="I192" s="66"/>
      <c r="J192" s="83">
        <v>192034000</v>
      </c>
    </row>
    <row r="193" spans="1:10" s="76" customFormat="1" ht="21" customHeight="1" x14ac:dyDescent="0.25">
      <c r="A193" s="72" t="str">
        <f t="shared" si="20"/>
        <v/>
      </c>
      <c r="B193" s="146"/>
      <c r="C193" s="147"/>
      <c r="D193" s="147"/>
      <c r="E193" s="147"/>
      <c r="F193" s="147"/>
      <c r="G193" s="147"/>
      <c r="H193" s="39"/>
      <c r="I193" s="66"/>
      <c r="J193" s="83">
        <v>193036000</v>
      </c>
    </row>
    <row r="194" spans="1:10" s="76" customFormat="1" ht="21" customHeight="1" x14ac:dyDescent="0.25">
      <c r="A194" s="72" t="str">
        <f t="shared" si="20"/>
        <v/>
      </c>
      <c r="B194" s="146"/>
      <c r="C194" s="147"/>
      <c r="D194" s="147"/>
      <c r="E194" s="147"/>
      <c r="F194" s="147"/>
      <c r="G194" s="147"/>
      <c r="H194" s="39"/>
      <c r="I194" s="66"/>
      <c r="J194" s="83">
        <v>194038000</v>
      </c>
    </row>
    <row r="195" spans="1:10" s="76" customFormat="1" ht="21" customHeight="1" thickBot="1" x14ac:dyDescent="0.3">
      <c r="A195" s="72" t="str">
        <f t="shared" si="20"/>
        <v/>
      </c>
      <c r="B195" s="146"/>
      <c r="C195" s="147"/>
      <c r="D195" s="147"/>
      <c r="E195" s="147"/>
      <c r="F195" s="147"/>
      <c r="G195" s="147"/>
      <c r="H195" s="55"/>
      <c r="I195" s="66"/>
      <c r="J195" s="83">
        <v>195040000</v>
      </c>
    </row>
    <row r="196" spans="1:10" s="76" customFormat="1" ht="21" customHeight="1" thickTop="1" x14ac:dyDescent="0.25">
      <c r="A196" s="72"/>
      <c r="B196" s="140" t="s">
        <v>164</v>
      </c>
      <c r="C196" s="141"/>
      <c r="D196" s="141"/>
      <c r="E196" s="141"/>
      <c r="F196" s="141"/>
      <c r="G196" s="141"/>
      <c r="H196" s="40">
        <f>SUM(H179:H195)</f>
        <v>0</v>
      </c>
      <c r="I196" s="66"/>
      <c r="J196" s="83"/>
    </row>
    <row r="197" spans="1:10" s="76" customFormat="1" ht="6" customHeight="1" thickBot="1" x14ac:dyDescent="0.3">
      <c r="A197" s="72"/>
      <c r="B197" s="226"/>
      <c r="C197" s="227"/>
      <c r="D197" s="227"/>
      <c r="E197" s="227"/>
      <c r="F197" s="227"/>
      <c r="G197" s="227"/>
      <c r="H197" s="228"/>
      <c r="I197" s="66"/>
      <c r="J197" s="83"/>
    </row>
    <row r="198" spans="1:10" x14ac:dyDescent="0.25">
      <c r="A198" s="72"/>
      <c r="B198" s="65"/>
      <c r="C198" s="65"/>
      <c r="D198" s="65"/>
      <c r="E198" s="65"/>
      <c r="F198" s="88"/>
      <c r="G198" s="65"/>
      <c r="H198" s="65"/>
      <c r="I198" s="67"/>
      <c r="J198" s="83"/>
    </row>
  </sheetData>
  <sheetProtection algorithmName="SHA-512" hashValue="b+6NMEHXTkJkBL30cw92oGHtuYEwPbi1aCkWZ2ad/cur4muoczPjyQJEnMTt5Cc4wbLN9iOib7kGCEshdzh24A==" saltValue="tw6Rq4fT3fhHLwD2ikMbQQ==" spinCount="100000" sheet="1" objects="1" scenarios="1" selectLockedCells="1"/>
  <mergeCells count="211">
    <mergeCell ref="B192:G192"/>
    <mergeCell ref="B193:G193"/>
    <mergeCell ref="B20:D20"/>
    <mergeCell ref="B194:G194"/>
    <mergeCell ref="B168:H168"/>
    <mergeCell ref="B169:G169"/>
    <mergeCell ref="B164:D164"/>
    <mergeCell ref="B167:D167"/>
    <mergeCell ref="B197:H197"/>
    <mergeCell ref="B195:G195"/>
    <mergeCell ref="B190:G190"/>
    <mergeCell ref="B191:G191"/>
    <mergeCell ref="B137:D137"/>
    <mergeCell ref="B138:D138"/>
    <mergeCell ref="B161:D161"/>
    <mergeCell ref="B162:D162"/>
    <mergeCell ref="B163:D163"/>
    <mergeCell ref="B160:D160"/>
    <mergeCell ref="B152:D152"/>
    <mergeCell ref="B165:D165"/>
    <mergeCell ref="B166:D166"/>
    <mergeCell ref="B183:D183"/>
    <mergeCell ref="B139:D139"/>
    <mergeCell ref="B140:D140"/>
    <mergeCell ref="B189:H189"/>
    <mergeCell ref="B3:H3"/>
    <mergeCell ref="B4:H4"/>
    <mergeCell ref="B145:H145"/>
    <mergeCell ref="B94:H94"/>
    <mergeCell ref="B45:H45"/>
    <mergeCell ref="B19:D19"/>
    <mergeCell ref="B85:B86"/>
    <mergeCell ref="C85:H85"/>
    <mergeCell ref="B95:B98"/>
    <mergeCell ref="B186:D186"/>
    <mergeCell ref="B187:D187"/>
    <mergeCell ref="B188:D188"/>
    <mergeCell ref="B174:G174"/>
    <mergeCell ref="B153:D153"/>
    <mergeCell ref="B154:D154"/>
    <mergeCell ref="B158:H158"/>
    <mergeCell ref="B109:H109"/>
    <mergeCell ref="B84:H84"/>
    <mergeCell ref="B99:D99"/>
    <mergeCell ref="B100:D100"/>
    <mergeCell ref="B101:D101"/>
    <mergeCell ref="B103:D103"/>
    <mergeCell ref="B87:D87"/>
    <mergeCell ref="B57:H57"/>
    <mergeCell ref="B12:H12"/>
    <mergeCell ref="B40:D40"/>
    <mergeCell ref="B41:D41"/>
    <mergeCell ref="B42:D42"/>
    <mergeCell ref="B43:D43"/>
    <mergeCell ref="B50:D50"/>
    <mergeCell ref="B51:D51"/>
    <mergeCell ref="B52:D52"/>
    <mergeCell ref="B26:D26"/>
    <mergeCell ref="B2:H2"/>
    <mergeCell ref="B16:H16"/>
    <mergeCell ref="B17:H17"/>
    <mergeCell ref="G9:H9"/>
    <mergeCell ref="C31:G31"/>
    <mergeCell ref="B34:H34"/>
    <mergeCell ref="B35:D35"/>
    <mergeCell ref="B36:D36"/>
    <mergeCell ref="B37:D37"/>
    <mergeCell ref="B53:D53"/>
    <mergeCell ref="B75:D75"/>
    <mergeCell ref="B81:D81"/>
    <mergeCell ref="B33:G33"/>
    <mergeCell ref="B79:D79"/>
    <mergeCell ref="B80:D80"/>
    <mergeCell ref="B72:D72"/>
    <mergeCell ref="B73:D73"/>
    <mergeCell ref="B74:D74"/>
    <mergeCell ref="B76:D76"/>
    <mergeCell ref="B77:D77"/>
    <mergeCell ref="B78:D78"/>
    <mergeCell ref="B60:D60"/>
    <mergeCell ref="B61:D61"/>
    <mergeCell ref="B62:D62"/>
    <mergeCell ref="B63:D63"/>
    <mergeCell ref="B64:D64"/>
    <mergeCell ref="D46:H46"/>
    <mergeCell ref="B46:C47"/>
    <mergeCell ref="B58:C59"/>
    <mergeCell ref="D58:H58"/>
    <mergeCell ref="B38:D38"/>
    <mergeCell ref="B39:D39"/>
    <mergeCell ref="B56:G56"/>
    <mergeCell ref="B159:D159"/>
    <mergeCell ref="G10:H10"/>
    <mergeCell ref="B48:D48"/>
    <mergeCell ref="B49:D49"/>
    <mergeCell ref="B65:D65"/>
    <mergeCell ref="B66:D66"/>
    <mergeCell ref="B67:D67"/>
    <mergeCell ref="B68:D68"/>
    <mergeCell ref="B69:D69"/>
    <mergeCell ref="B70:D70"/>
    <mergeCell ref="B71:D71"/>
    <mergeCell ref="B44:H44"/>
    <mergeCell ref="G11:H11"/>
    <mergeCell ref="B83:G83"/>
    <mergeCell ref="B15:G15"/>
    <mergeCell ref="B13:G13"/>
    <mergeCell ref="B14:G14"/>
    <mergeCell ref="B18:H18"/>
    <mergeCell ref="B28:D28"/>
    <mergeCell ref="B29:D29"/>
    <mergeCell ref="B30:D30"/>
    <mergeCell ref="B54:D54"/>
    <mergeCell ref="B27:D27"/>
    <mergeCell ref="B32:G32"/>
    <mergeCell ref="G122:G123"/>
    <mergeCell ref="H122:H123"/>
    <mergeCell ref="B88:D88"/>
    <mergeCell ref="B89:D89"/>
    <mergeCell ref="B90:D90"/>
    <mergeCell ref="B91:D91"/>
    <mergeCell ref="B104:D104"/>
    <mergeCell ref="B105:D105"/>
    <mergeCell ref="B106:D106"/>
    <mergeCell ref="B120:G120"/>
    <mergeCell ref="B115:D115"/>
    <mergeCell ref="B116:D116"/>
    <mergeCell ref="B117:D117"/>
    <mergeCell ref="B118:D118"/>
    <mergeCell ref="C97:H97"/>
    <mergeCell ref="B108:G108"/>
    <mergeCell ref="B92:G92"/>
    <mergeCell ref="B93:H93"/>
    <mergeCell ref="C95:H95"/>
    <mergeCell ref="C96:H96"/>
    <mergeCell ref="C110:H110"/>
    <mergeCell ref="B110:B111"/>
    <mergeCell ref="B102:D102"/>
    <mergeCell ref="B112:D112"/>
    <mergeCell ref="B151:D151"/>
    <mergeCell ref="B124:D124"/>
    <mergeCell ref="B121:H121"/>
    <mergeCell ref="B122:D122"/>
    <mergeCell ref="B144:H144"/>
    <mergeCell ref="B176:H176"/>
    <mergeCell ref="B141:D141"/>
    <mergeCell ref="B142:D142"/>
    <mergeCell ref="B113:D113"/>
    <mergeCell ref="B114:D114"/>
    <mergeCell ref="B125:H125"/>
    <mergeCell ref="B135:D135"/>
    <mergeCell ref="B136:D136"/>
    <mergeCell ref="B126:D126"/>
    <mergeCell ref="B129:D129"/>
    <mergeCell ref="B130:D130"/>
    <mergeCell ref="B127:D127"/>
    <mergeCell ref="B131:D131"/>
    <mergeCell ref="B134:D134"/>
    <mergeCell ref="B128:H128"/>
    <mergeCell ref="B133:H133"/>
    <mergeCell ref="B123:D123"/>
    <mergeCell ref="E122:E123"/>
    <mergeCell ref="F122:F123"/>
    <mergeCell ref="B196:G196"/>
    <mergeCell ref="B175:G175"/>
    <mergeCell ref="B143:G143"/>
    <mergeCell ref="B132:G132"/>
    <mergeCell ref="B177:B178"/>
    <mergeCell ref="C177:H177"/>
    <mergeCell ref="B179:D179"/>
    <mergeCell ref="B180:D180"/>
    <mergeCell ref="B181:D181"/>
    <mergeCell ref="B182:D182"/>
    <mergeCell ref="B184:D184"/>
    <mergeCell ref="B170:G170"/>
    <mergeCell ref="B171:G171"/>
    <mergeCell ref="B172:G172"/>
    <mergeCell ref="B173:G173"/>
    <mergeCell ref="B155:D155"/>
    <mergeCell ref="B156:D156"/>
    <mergeCell ref="B157:D157"/>
    <mergeCell ref="B185:D185"/>
    <mergeCell ref="B146:B147"/>
    <mergeCell ref="C146:H146"/>
    <mergeCell ref="B148:D148"/>
    <mergeCell ref="B149:D149"/>
    <mergeCell ref="B150:D150"/>
    <mergeCell ref="B5:B11"/>
    <mergeCell ref="D82:G82"/>
    <mergeCell ref="B82:C82"/>
    <mergeCell ref="B55:C55"/>
    <mergeCell ref="D55:G55"/>
    <mergeCell ref="D107:G107"/>
    <mergeCell ref="B107:C107"/>
    <mergeCell ref="D119:G119"/>
    <mergeCell ref="B119:C119"/>
    <mergeCell ref="D10:E10"/>
    <mergeCell ref="D5:E5"/>
    <mergeCell ref="D6:E6"/>
    <mergeCell ref="D7:E7"/>
    <mergeCell ref="D8:E8"/>
    <mergeCell ref="D9:E9"/>
    <mergeCell ref="G5:H5"/>
    <mergeCell ref="G6:H6"/>
    <mergeCell ref="G7:H7"/>
    <mergeCell ref="G8:H8"/>
    <mergeCell ref="B21:D21"/>
    <mergeCell ref="B22:D22"/>
    <mergeCell ref="B23:D23"/>
    <mergeCell ref="B24:D24"/>
    <mergeCell ref="B25:D25"/>
  </mergeCells>
  <conditionalFormatting sqref="B20:D20 B46:B47">
    <cfRule type="expression" dxfId="6" priority="2">
      <formula>$D$10&lt;&gt;"City of Franklin"</formula>
    </cfRule>
  </conditionalFormatting>
  <conditionalFormatting sqref="B46:B47">
    <cfRule type="cellIs" dxfId="5" priority="1" operator="equal">
      <formula>"I. CITY WATER"</formula>
    </cfRule>
  </conditionalFormatting>
  <conditionalFormatting sqref="B48:H56 D46 B46:B47 D47:H47">
    <cfRule type="expression" dxfId="4" priority="3">
      <formula>$D$10&lt;&gt;"City of Franklin"</formula>
    </cfRule>
  </conditionalFormatting>
  <conditionalFormatting sqref="B3:H4 B102 E102:H102 C11:G11 B5:D5 F5:G10 B103:H106 B124:H198 B123:D123 B83:H101 B82 H82 B55 H55 H107 B120:H122 H119 B119 B107 D107 D119 C6:D10 B108:H118 B12:H45 B48:H54 D46 B46:B47 D47:H47 B56:H57 B60:H81 B58:B59 D59:H59 D58">
    <cfRule type="expression" dxfId="3" priority="4">
      <formula>AND(CELL("protect",B3)=0,ISBLANK(B3))</formula>
    </cfRule>
    <cfRule type="expression" dxfId="2" priority="53">
      <formula>CELL("protect",B3)=0</formula>
    </cfRule>
  </conditionalFormatting>
  <dataValidations count="4">
    <dataValidation type="whole" operator="greaterThanOrEqual" allowBlank="1" showInputMessage="1" showErrorMessage="1" sqref="E130:E131 H169:H174 G159:G160 H190:H195 E148:E157 E159:E167 E135:E142 E127 E99:E106 E87:E91 H55 E48:E54 E60:E81 H82 E179:E188 E112:E118" xr:uid="{617E40F7-EF60-488F-9205-D118B018503C}">
      <formula1>0</formula1>
    </dataValidation>
    <dataValidation type="whole" operator="greaterThanOrEqual" allowBlank="1" showInputMessage="1" showErrorMessage="1" prompt="Each driveway connection to an existing street (public or private) that is to be added, modified, or removed should be counted as one Street Access." sqref="E124" xr:uid="{F9ACC562-C530-4E36-9F20-8268B12ED498}">
      <formula1>0</formula1>
    </dataValidation>
    <dataValidation type="decimal" operator="greaterThanOrEqual" allowBlank="1" showInputMessage="1" showErrorMessage="1" prompt="This should be the total area inside the limits of disturbance." sqref="D11" xr:uid="{AEEC5A36-67EF-4D6B-BC44-64AD6461CBDA}">
      <formula1>0</formula1>
    </dataValidation>
    <dataValidation type="list" allowBlank="1" showInputMessage="1" showErrorMessage="1" sqref="D10" xr:uid="{A6C01E71-2E53-46A6-8F93-DF2AAD945868}">
      <formula1>"City of Franklin, Mallory Valley, Milcrofton, HB &amp; TS"</formula1>
    </dataValidation>
  </dataValidations>
  <pageMargins left="0.47" right="0.36" top="0.73" bottom="0.62" header="0.37" footer="0.34"/>
  <pageSetup scale="63" fitToHeight="0" orientation="portrait" r:id="rId1"/>
  <headerFooter alignWithMargins="0">
    <oddHeader xml:space="preserve">&amp;LCity of Franklin&amp;CSurety Calcutions&amp;R&amp;D
</oddHeader>
    <oddFooter>&amp;R&amp;"Times New Roman,Italic" Sheet &amp;P of 4</oddFooter>
  </headerFooter>
  <rowBreaks count="3" manualBreakCount="3">
    <brk id="44" min="1" max="7" man="1"/>
    <brk id="93" min="1" max="7" man="1"/>
    <brk id="144" min="1" max="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1FA9D-B6E3-4DAF-88B2-E19B431AFB30}">
  <sheetPr>
    <pageSetUpPr fitToPage="1"/>
  </sheetPr>
  <dimension ref="A1:H350"/>
  <sheetViews>
    <sheetView zoomScaleNormal="100" workbookViewId="0">
      <selection activeCell="B63" sqref="B63:D63"/>
    </sheetView>
  </sheetViews>
  <sheetFormatPr defaultColWidth="9.140625" defaultRowHeight="19.899999999999999" customHeight="1" outlineLevelRow="1" x14ac:dyDescent="0.25"/>
  <cols>
    <col min="1" max="1" width="2.7109375" style="6" customWidth="1"/>
    <col min="2" max="2" width="27.7109375" style="6" customWidth="1"/>
    <col min="3" max="3" width="24.85546875" style="6" customWidth="1"/>
    <col min="4" max="4" width="28.7109375" style="6" customWidth="1"/>
    <col min="5" max="5" width="22.7109375" style="12" customWidth="1"/>
    <col min="6" max="6" width="2.7109375" style="12" customWidth="1"/>
    <col min="7" max="8" width="9.140625" style="92" hidden="1" customWidth="1"/>
    <col min="9" max="9" width="9.140625" style="91" customWidth="1"/>
    <col min="10" max="16384" width="9.140625" style="91"/>
  </cols>
  <sheetData>
    <row r="1" spans="1:8" ht="9.9499999999999993" customHeight="1" x14ac:dyDescent="0.25"/>
    <row r="2" spans="1:8" ht="39" customHeight="1" x14ac:dyDescent="0.25">
      <c r="B2" s="236"/>
      <c r="C2" s="237" t="s">
        <v>165</v>
      </c>
      <c r="D2" s="237"/>
      <c r="E2" s="237"/>
      <c r="F2" s="56"/>
    </row>
    <row r="3" spans="1:8" ht="19.899999999999999" customHeight="1" x14ac:dyDescent="0.25">
      <c r="B3" s="236"/>
      <c r="C3" s="4" t="s">
        <v>1</v>
      </c>
      <c r="D3" s="233" t="str">
        <f>IF('Surety Calculations Form'!D5="","",'Surety Calculations Form'!D5)</f>
        <v/>
      </c>
      <c r="E3" s="233"/>
      <c r="F3" s="57"/>
    </row>
    <row r="4" spans="1:8" ht="19.899999999999999" customHeight="1" x14ac:dyDescent="0.25">
      <c r="B4" s="236"/>
      <c r="C4" s="4" t="s">
        <v>3</v>
      </c>
      <c r="D4" s="233" t="str">
        <f>IF('Surety Calculations Form'!D6="","",'Surety Calculations Form'!D6)</f>
        <v/>
      </c>
      <c r="E4" s="233"/>
      <c r="F4" s="57"/>
    </row>
    <row r="5" spans="1:8" ht="19.899999999999999" customHeight="1" x14ac:dyDescent="0.25">
      <c r="B5" s="236"/>
      <c r="C5" s="4" t="s">
        <v>5</v>
      </c>
      <c r="D5" s="233" t="str">
        <f>IF('Surety Calculations Form'!D7="","",'Surety Calculations Form'!D7)</f>
        <v/>
      </c>
      <c r="E5" s="233"/>
      <c r="F5" s="57"/>
    </row>
    <row r="6" spans="1:8" ht="19.899999999999999" customHeight="1" x14ac:dyDescent="0.25">
      <c r="B6" s="236"/>
      <c r="C6" s="4" t="s">
        <v>2</v>
      </c>
      <c r="D6" s="233" t="str">
        <f>IF('Surety Calculations Form'!G5="","",'Surety Calculations Form'!G5)</f>
        <v/>
      </c>
      <c r="E6" s="233"/>
      <c r="F6" s="57"/>
    </row>
    <row r="7" spans="1:8" ht="19.899999999999999" customHeight="1" x14ac:dyDescent="0.25">
      <c r="B7" s="236"/>
      <c r="C7" s="4" t="s">
        <v>4</v>
      </c>
      <c r="D7" s="233" t="str">
        <f>IF('Surety Calculations Form'!G6="","",'Surety Calculations Form'!G6)</f>
        <v/>
      </c>
      <c r="E7" s="233"/>
      <c r="F7" s="57"/>
    </row>
    <row r="8" spans="1:8" ht="19.899999999999999" customHeight="1" x14ac:dyDescent="0.25">
      <c r="B8" s="236"/>
      <c r="C8" s="5" t="s">
        <v>6</v>
      </c>
      <c r="D8" s="233" t="str">
        <f>IF('Surety Calculations Form'!G7="","",'Surety Calculations Form'!G7)</f>
        <v/>
      </c>
      <c r="E8" s="233"/>
      <c r="F8" s="57"/>
    </row>
    <row r="9" spans="1:8" ht="19.899999999999999" customHeight="1" x14ac:dyDescent="0.25">
      <c r="B9" s="236"/>
      <c r="C9" s="4" t="s">
        <v>9</v>
      </c>
      <c r="D9" s="233" t="str">
        <f>IF('Surety Calculations Form'!D9="","",'Surety Calculations Form'!D9)</f>
        <v/>
      </c>
      <c r="E9" s="233"/>
      <c r="F9" s="57"/>
    </row>
    <row r="10" spans="1:8" ht="19.899999999999999" customHeight="1" x14ac:dyDescent="0.25">
      <c r="B10" s="236"/>
      <c r="C10" s="4" t="s">
        <v>10</v>
      </c>
      <c r="D10" s="233" t="str">
        <f>IF('Surety Calculations Form'!D10="","",'Surety Calculations Form'!D10)</f>
        <v/>
      </c>
      <c r="E10" s="233"/>
      <c r="F10" s="57"/>
    </row>
    <row r="11" spans="1:8" s="94" customFormat="1" ht="19.899999999999999" customHeight="1" x14ac:dyDescent="0.25">
      <c r="A11" s="7"/>
      <c r="B11" s="236"/>
      <c r="C11" s="4" t="s">
        <v>12</v>
      </c>
      <c r="D11" s="233" t="str">
        <f>IF('Surety Calculations Form'!D11="","",'Surety Calculations Form'!D11)</f>
        <v/>
      </c>
      <c r="E11" s="233"/>
      <c r="F11" s="57"/>
      <c r="G11" s="93"/>
      <c r="H11" s="93"/>
    </row>
    <row r="12" spans="1:8" s="96" customFormat="1" ht="19.899999999999999" customHeight="1" x14ac:dyDescent="0.25">
      <c r="A12" s="8"/>
      <c r="B12" s="246"/>
      <c r="C12" s="246"/>
      <c r="D12" s="246"/>
      <c r="E12" s="246"/>
      <c r="F12" s="90"/>
      <c r="G12" s="95"/>
      <c r="H12" s="95"/>
    </row>
    <row r="13" spans="1:8" s="96" customFormat="1" ht="19.899999999999999" customHeight="1" x14ac:dyDescent="0.25">
      <c r="A13" s="8"/>
      <c r="B13" s="252" t="s">
        <v>30</v>
      </c>
      <c r="C13" s="252"/>
      <c r="D13" s="252"/>
      <c r="E13" s="1" t="s">
        <v>31</v>
      </c>
      <c r="F13" s="58"/>
      <c r="G13" s="95"/>
      <c r="H13" s="95"/>
    </row>
    <row r="14" spans="1:8" s="96" customFormat="1" ht="19.899999999999999" customHeight="1" x14ac:dyDescent="0.25">
      <c r="A14" s="8"/>
      <c r="B14" s="249" t="str">
        <f>'Surety Calculations Form'!$B36</f>
        <v xml:space="preserve">I. WATER MAIN (MIN $1,000) </v>
      </c>
      <c r="C14" s="250"/>
      <c r="D14" s="251"/>
      <c r="E14" s="2" t="str">
        <f>IF('Surety Calculations Form'!H36="","",'Surety Calculations Form'!H36)</f>
        <v>--- n/a ---</v>
      </c>
      <c r="F14" s="59"/>
      <c r="G14" s="95"/>
      <c r="H14" s="95"/>
    </row>
    <row r="15" spans="1:8" s="96" customFormat="1" ht="19.899999999999999" customHeight="1" x14ac:dyDescent="0.25">
      <c r="A15" s="8"/>
      <c r="B15" s="249" t="str">
        <f>'Surety Calculations Form'!$B37</f>
        <v>IIa. WASTEWATER: GRAVITY MAIN (Min $1,000)</v>
      </c>
      <c r="C15" s="250"/>
      <c r="D15" s="251"/>
      <c r="E15" s="2" t="str">
        <f>IF('Surety Calculations Form'!H37="","",'Surety Calculations Form'!H37)</f>
        <v>----------</v>
      </c>
      <c r="F15" s="59"/>
      <c r="G15" s="95"/>
      <c r="H15" s="95"/>
    </row>
    <row r="16" spans="1:8" s="96" customFormat="1" ht="19.899999999999999" customHeight="1" x14ac:dyDescent="0.25">
      <c r="A16" s="8"/>
      <c r="B16" s="249" t="str">
        <f>'Surety Calculations Form'!$B38</f>
        <v>IIb. WASTEWATER: FORCE MAIN (Min $1,000)</v>
      </c>
      <c r="C16" s="250"/>
      <c r="D16" s="251"/>
      <c r="E16" s="2" t="str">
        <f>IF('Surety Calculations Form'!H38="","",'Surety Calculations Form'!H38)</f>
        <v>----------</v>
      </c>
      <c r="F16" s="59"/>
      <c r="G16" s="95"/>
      <c r="H16" s="95"/>
    </row>
    <row r="17" spans="1:8" s="96" customFormat="1" ht="19.899999999999999" customHeight="1" x14ac:dyDescent="0.25">
      <c r="A17" s="8"/>
      <c r="B17" s="249" t="str">
        <f>'Surety Calculations Form'!$B39</f>
        <v>IIc. RECLAIMED WATER (Min $1,000)</v>
      </c>
      <c r="C17" s="250"/>
      <c r="D17" s="251"/>
      <c r="E17" s="2" t="str">
        <f>IF('Surety Calculations Form'!H39="","",'Surety Calculations Form'!H39)</f>
        <v>----------</v>
      </c>
      <c r="F17" s="59"/>
      <c r="G17" s="95"/>
      <c r="H17" s="95"/>
    </row>
    <row r="18" spans="1:8" s="96" customFormat="1" ht="19.899999999999999" customHeight="1" x14ac:dyDescent="0.25">
      <c r="A18" s="8"/>
      <c r="B18" s="249" t="str">
        <f>'Surety Calculations Form'!$B40</f>
        <v>III. ROADWAY INPSECTION (MIN $1,000 - BASED ON 12' EQUIVALENT LANE WIDTH)</v>
      </c>
      <c r="C18" s="250"/>
      <c r="D18" s="251"/>
      <c r="E18" s="2">
        <f>IF('Surety Calculations Form'!H40="","",'Surety Calculations Form'!H40)</f>
        <v>1000</v>
      </c>
      <c r="F18" s="59"/>
      <c r="G18" s="95"/>
      <c r="H18" s="95"/>
    </row>
    <row r="19" spans="1:8" s="96" customFormat="1" ht="19.899999999999999" customHeight="1" x14ac:dyDescent="0.25">
      <c r="A19" s="8"/>
      <c r="B19" s="249" t="str">
        <f>'Surety Calculations Form'!$B41</f>
        <v xml:space="preserve">VIa. DRAINAGE INSPECTION - STORM PIPE </v>
      </c>
      <c r="C19" s="250"/>
      <c r="D19" s="251"/>
      <c r="E19" s="2">
        <f>IF('Surety Calculations Form'!H41="","",'Surety Calculations Form'!H41)</f>
        <v>0</v>
      </c>
      <c r="F19" s="59"/>
      <c r="G19" s="95"/>
      <c r="H19" s="95"/>
    </row>
    <row r="20" spans="1:8" s="96" customFormat="1" ht="19.899999999999999" customHeight="1" x14ac:dyDescent="0.25">
      <c r="A20" s="8"/>
      <c r="B20" s="249" t="str">
        <f>'Surety Calculations Form'!$B42</f>
        <v>VIb. DRAINAGE INSPECTION - DETENTION POND</v>
      </c>
      <c r="C20" s="250"/>
      <c r="D20" s="251"/>
      <c r="E20" s="2">
        <f>IF('Surety Calculations Form'!H42="","",'Surety Calculations Form'!H42)</f>
        <v>0</v>
      </c>
      <c r="F20" s="59"/>
      <c r="G20" s="95"/>
      <c r="H20" s="95"/>
    </row>
    <row r="21" spans="1:8" s="96" customFormat="1" ht="19.899999999999999" customHeight="1" x14ac:dyDescent="0.25">
      <c r="A21" s="8"/>
      <c r="B21" s="249" t="str">
        <f>'Surety Calculations Form'!$B43</f>
        <v>VIc. DRAINAGE INSPECTION - DITCH WORK (BASED ON 10' EQUIVALENT WIDTH)</v>
      </c>
      <c r="C21" s="250"/>
      <c r="D21" s="251"/>
      <c r="E21" s="2">
        <f>IF('Surety Calculations Form'!H43="","",'Surety Calculations Form'!H43)</f>
        <v>0</v>
      </c>
      <c r="F21" s="59"/>
      <c r="G21" s="95"/>
      <c r="H21" s="95"/>
    </row>
    <row r="22" spans="1:8" s="96" customFormat="1" ht="19.899999999999999" customHeight="1" x14ac:dyDescent="0.25">
      <c r="A22" s="8"/>
      <c r="B22" s="247"/>
      <c r="C22" s="247"/>
      <c r="D22" s="247"/>
      <c r="E22" s="247"/>
      <c r="F22" s="90"/>
      <c r="G22" s="95"/>
      <c r="H22" s="95"/>
    </row>
    <row r="23" spans="1:8" s="96" customFormat="1" ht="39" customHeight="1" x14ac:dyDescent="0.25">
      <c r="A23" s="8"/>
      <c r="B23" s="238" t="s">
        <v>166</v>
      </c>
      <c r="C23" s="238"/>
      <c r="D23" s="238"/>
      <c r="E23" s="238"/>
      <c r="F23" s="89"/>
      <c r="G23" s="95"/>
      <c r="H23" s="95"/>
    </row>
    <row r="24" spans="1:8" s="98" customFormat="1" ht="19.899999999999999" customHeight="1" x14ac:dyDescent="0.25">
      <c r="A24" s="9"/>
      <c r="B24" s="248" t="s">
        <v>167</v>
      </c>
      <c r="C24" s="248"/>
      <c r="D24" s="248"/>
      <c r="E24" s="248"/>
      <c r="F24" s="60"/>
      <c r="G24" s="97"/>
      <c r="H24" s="97"/>
    </row>
    <row r="25" spans="1:8" s="100" customFormat="1" ht="19.899999999999999" customHeight="1" x14ac:dyDescent="0.25">
      <c r="A25" s="10"/>
      <c r="B25" s="235" t="s">
        <v>178</v>
      </c>
      <c r="C25" s="235"/>
      <c r="D25" s="235"/>
      <c r="E25" s="3" t="str">
        <f>IF(ISNUMBER('Surety Calculations Form'!$H20)=TRUE,'Surety Calculations Form'!$H20,"")</f>
        <v/>
      </c>
      <c r="F25" s="61"/>
      <c r="G25" s="99"/>
      <c r="H25" s="99"/>
    </row>
    <row r="26" spans="1:8" s="100" customFormat="1" ht="19.899999999999999" customHeight="1" x14ac:dyDescent="0.25">
      <c r="A26" s="10"/>
      <c r="B26" s="235" t="str">
        <f>('Surety Calculations Form'!B21)</f>
        <v>II. CITY SEWER</v>
      </c>
      <c r="C26" s="235"/>
      <c r="D26" s="235"/>
      <c r="E26" s="3" t="str">
        <f>IF(ISNUMBER('Surety Calculations Form'!$H21)=TRUE,'Surety Calculations Form'!$H21,"")</f>
        <v/>
      </c>
      <c r="F26" s="61"/>
      <c r="G26" s="99"/>
      <c r="H26" s="99"/>
    </row>
    <row r="27" spans="1:8" s="100" customFormat="1" ht="19.899999999999999" customHeight="1" x14ac:dyDescent="0.25">
      <c r="A27" s="10"/>
      <c r="B27" s="235" t="str">
        <f>('Surety Calculations Form'!B22)</f>
        <v xml:space="preserve">III. PUBLIC SIDEWALK: </v>
      </c>
      <c r="C27" s="235"/>
      <c r="D27" s="235"/>
      <c r="E27" s="3" t="str">
        <f>IF(ISNUMBER('Surety Calculations Form'!$H22)=TRUE,'Surety Calculations Form'!$H22,"")</f>
        <v/>
      </c>
      <c r="F27" s="61"/>
      <c r="G27" s="99"/>
      <c r="H27" s="99"/>
    </row>
    <row r="28" spans="1:8" s="100" customFormat="1" ht="19.899999999999999" customHeight="1" x14ac:dyDescent="0.25">
      <c r="A28" s="10"/>
      <c r="B28" s="235" t="str">
        <f>('Surety Calculations Form'!B23)</f>
        <v>IV. CITY STREETS</v>
      </c>
      <c r="C28" s="235"/>
      <c r="D28" s="235"/>
      <c r="E28" s="3" t="str">
        <f>IF(ISNUMBER('Surety Calculations Form'!$H23)=TRUE,'Surety Calculations Form'!$H23,"")</f>
        <v/>
      </c>
      <c r="F28" s="61"/>
      <c r="G28" s="99"/>
      <c r="H28" s="99"/>
    </row>
    <row r="29" spans="1:8" s="100" customFormat="1" ht="19.899999999999999" customHeight="1" x14ac:dyDescent="0.25">
      <c r="A29" s="10"/>
      <c r="B29" s="235" t="str">
        <f>('Surety Calculations Form'!B24)</f>
        <v>V. PRIVATE STREETS (INCLUDING SHARED ACCESS)</v>
      </c>
      <c r="C29" s="235"/>
      <c r="D29" s="235"/>
      <c r="E29" s="3" t="str">
        <f>IF(ISNUMBER('Surety Calculations Form'!$H24)=TRUE,'Surety Calculations Form'!$H24,"")</f>
        <v/>
      </c>
      <c r="F29" s="61"/>
      <c r="G29" s="99"/>
      <c r="H29" s="99"/>
    </row>
    <row r="30" spans="1:8" s="100" customFormat="1" ht="19.899999999999999" customHeight="1" x14ac:dyDescent="0.25">
      <c r="A30" s="10"/>
      <c r="B30" s="235" t="str">
        <f>('Surety Calculations Form'!B25)</f>
        <v>VI. STREET ACCESS</v>
      </c>
      <c r="C30" s="235"/>
      <c r="D30" s="235"/>
      <c r="E30" s="3" t="str">
        <f>IF(ISNUMBER('Surety Calculations Form'!$H25)=TRUE,'Surety Calculations Form'!$H25,"")</f>
        <v/>
      </c>
      <c r="F30" s="61"/>
      <c r="G30" s="99"/>
      <c r="H30" s="99"/>
    </row>
    <row r="31" spans="1:8" s="100" customFormat="1" ht="19.899999999999999" customHeight="1" x14ac:dyDescent="0.25">
      <c r="A31" s="10"/>
      <c r="B31" s="235" t="str">
        <f>('Surety Calculations Form'!B26)</f>
        <v>VII. TEMPORARY TURNAROUNDS</v>
      </c>
      <c r="C31" s="235"/>
      <c r="D31" s="235"/>
      <c r="E31" s="3" t="str">
        <f>IF(ISNUMBER('Surety Calculations Form'!$H26)=TRUE,'Surety Calculations Form'!$H26,"")</f>
        <v/>
      </c>
      <c r="F31" s="61"/>
      <c r="G31" s="99"/>
      <c r="H31" s="99"/>
    </row>
    <row r="32" spans="1:8" s="100" customFormat="1" ht="19.899999999999999" customHeight="1" x14ac:dyDescent="0.25">
      <c r="A32" s="10"/>
      <c r="B32" s="235" t="str">
        <f>('Surety Calculations Form'!B27)</f>
        <v>VIII. TRAFFIC SIGNALS</v>
      </c>
      <c r="C32" s="235"/>
      <c r="D32" s="235"/>
      <c r="E32" s="3" t="str">
        <f>IF(ISNUMBER('Surety Calculations Form'!$H27)=TRUE,'Surety Calculations Form'!$H27,"")</f>
        <v/>
      </c>
      <c r="F32" s="61"/>
      <c r="G32" s="99"/>
      <c r="H32" s="99"/>
    </row>
    <row r="33" spans="1:8" s="100" customFormat="1" ht="19.899999999999999" customHeight="1" x14ac:dyDescent="0.25">
      <c r="A33" s="10"/>
      <c r="B33" s="235" t="str">
        <f>('Surety Calculations Form'!B28)</f>
        <v>IX.  I.T.S. ELEMENTS</v>
      </c>
      <c r="C33" s="235"/>
      <c r="D33" s="235"/>
      <c r="E33" s="3" t="str">
        <f>IF(ISNUMBER('Surety Calculations Form'!$H28)=TRUE,'Surety Calculations Form'!$H28,"")</f>
        <v/>
      </c>
      <c r="F33" s="61"/>
      <c r="G33" s="99"/>
      <c r="H33" s="99"/>
    </row>
    <row r="34" spans="1:8" s="100" customFormat="1" ht="19.899999999999999" customHeight="1" x14ac:dyDescent="0.25">
      <c r="A34" s="10"/>
      <c r="B34" s="235" t="str">
        <f>('Surety Calculations Form'!B29)</f>
        <v>X. STORMWATER DRAINAGE</v>
      </c>
      <c r="C34" s="235"/>
      <c r="D34" s="235"/>
      <c r="E34" s="3" t="str">
        <f>IF(ISNUMBER('Surety Calculations Form'!$H29)=TRUE,'Surety Calculations Form'!$H29,"")</f>
        <v/>
      </c>
      <c r="F34" s="61"/>
      <c r="G34" s="99"/>
      <c r="H34" s="99"/>
    </row>
    <row r="35" spans="1:8" s="100" customFormat="1" ht="19.899999999999999" customHeight="1" x14ac:dyDescent="0.25">
      <c r="A35" s="10"/>
      <c r="B35" s="235" t="str">
        <f>('Surety Calculations Form'!B30)</f>
        <v>XI. GREEN INFRASTRUCTURE</v>
      </c>
      <c r="C35" s="235"/>
      <c r="D35" s="235"/>
      <c r="E35" s="3" t="str">
        <f>IF(ISNUMBER('Surety Calculations Form'!$H30)=TRUE,'Surety Calculations Form'!$H30,"")</f>
        <v/>
      </c>
      <c r="F35" s="61"/>
      <c r="G35" s="99"/>
      <c r="H35" s="99"/>
    </row>
    <row r="36" spans="1:8" s="100" customFormat="1" ht="19.899999999999999" hidden="1" customHeight="1" outlineLevel="1" x14ac:dyDescent="0.25">
      <c r="A36" s="10"/>
      <c r="B36" s="239"/>
      <c r="C36" s="240"/>
      <c r="D36" s="240"/>
      <c r="E36" s="241"/>
      <c r="F36" s="61"/>
      <c r="G36" s="99"/>
      <c r="H36" s="99"/>
    </row>
    <row r="37" spans="1:8" s="96" customFormat="1" ht="121.5" hidden="1" customHeight="1" outlineLevel="1" x14ac:dyDescent="0.25">
      <c r="A37" s="8"/>
      <c r="B37" s="242"/>
      <c r="C37" s="243"/>
      <c r="D37" s="243"/>
      <c r="E37" s="244"/>
      <c r="F37" s="62"/>
      <c r="G37" s="95"/>
      <c r="H37" s="95"/>
    </row>
    <row r="38" spans="1:8" s="96" customFormat="1" ht="136.5" customHeight="1" collapsed="1" x14ac:dyDescent="0.25">
      <c r="A38" s="8"/>
      <c r="B38" s="245" t="s">
        <v>168</v>
      </c>
      <c r="C38" s="245"/>
      <c r="D38" s="245"/>
      <c r="E38" s="245"/>
      <c r="F38" s="63"/>
      <c r="G38" s="95"/>
      <c r="H38" s="95"/>
    </row>
    <row r="39" spans="1:8" s="96" customFormat="1" ht="19.899999999999999" customHeight="1" x14ac:dyDescent="0.25">
      <c r="A39" s="8"/>
      <c r="B39" s="253" t="s">
        <v>169</v>
      </c>
      <c r="C39" s="254"/>
      <c r="D39" s="255"/>
      <c r="E39" s="13" t="s">
        <v>170</v>
      </c>
      <c r="F39" s="64"/>
      <c r="G39" s="95"/>
      <c r="H39" s="95"/>
    </row>
    <row r="40" spans="1:8" s="102" customFormat="1" ht="19.899999999999999" customHeight="1" x14ac:dyDescent="0.25">
      <c r="A40" s="11"/>
      <c r="B40" s="234" t="str">
        <f>IFERROR(Calcs!$B4,"")</f>
        <v/>
      </c>
      <c r="C40" s="234"/>
      <c r="D40" s="234"/>
      <c r="E40" s="14" t="str">
        <f>IFERROR(IF(G40&gt;0,CONCATENATE(G40," ",H40),""),"")</f>
        <v/>
      </c>
      <c r="F40" s="14"/>
      <c r="G40" s="101" t="e">
        <f>VLOOKUP(B40,'Surety Calculations Form'!B48:H198,4,FALSE)</f>
        <v>#N/A</v>
      </c>
      <c r="H40" s="101" t="e">
        <f>VLOOKUP(B40,'Surety Calculations Form'!B48:H198,5,FALSE)</f>
        <v>#N/A</v>
      </c>
    </row>
    <row r="41" spans="1:8" s="102" customFormat="1" ht="19.899999999999999" customHeight="1" x14ac:dyDescent="0.25">
      <c r="A41" s="11"/>
      <c r="B41" s="234" t="str">
        <f>IFERROR(Calcs!$B5,"")</f>
        <v/>
      </c>
      <c r="C41" s="234"/>
      <c r="D41" s="234"/>
      <c r="E41" s="14" t="str">
        <f t="shared" ref="E41:E104" si="0">IFERROR(IF(G41&gt;0,CONCATENATE(G41," ",H41),""),"")</f>
        <v/>
      </c>
      <c r="F41" s="14"/>
      <c r="G41" s="101" t="e">
        <f>VLOOKUP(B41,'Surety Calculations Form'!B49:H198,4,FALSE)</f>
        <v>#N/A</v>
      </c>
      <c r="H41" s="101" t="e">
        <f>VLOOKUP(B41,'Surety Calculations Form'!B49:H198,5,FALSE)</f>
        <v>#N/A</v>
      </c>
    </row>
    <row r="42" spans="1:8" s="102" customFormat="1" ht="19.899999999999999" customHeight="1" x14ac:dyDescent="0.25">
      <c r="A42" s="11"/>
      <c r="B42" s="234" t="str">
        <f>IFERROR(Calcs!$B6,"")</f>
        <v/>
      </c>
      <c r="C42" s="234"/>
      <c r="D42" s="234"/>
      <c r="E42" s="14" t="str">
        <f t="shared" si="0"/>
        <v/>
      </c>
      <c r="F42" s="14"/>
      <c r="G42" s="101" t="e">
        <f>VLOOKUP(B42,'Surety Calculations Form'!B50:H198,4,FALSE)</f>
        <v>#N/A</v>
      </c>
      <c r="H42" s="101" t="e">
        <f>VLOOKUP(B42,'Surety Calculations Form'!B50:H198,5,FALSE)</f>
        <v>#N/A</v>
      </c>
    </row>
    <row r="43" spans="1:8" s="102" customFormat="1" ht="19.899999999999999" customHeight="1" x14ac:dyDescent="0.25">
      <c r="A43" s="11"/>
      <c r="B43" s="234" t="str">
        <f>IFERROR(Calcs!$B7,"")</f>
        <v/>
      </c>
      <c r="C43" s="234"/>
      <c r="D43" s="234"/>
      <c r="E43" s="14" t="str">
        <f t="shared" si="0"/>
        <v/>
      </c>
      <c r="F43" s="14"/>
      <c r="G43" s="101" t="e">
        <f>VLOOKUP(B43,'Surety Calculations Form'!B51:H198,4,FALSE)</f>
        <v>#N/A</v>
      </c>
      <c r="H43" s="101" t="e">
        <f>VLOOKUP(B43,'Surety Calculations Form'!B51:H198,5,FALSE)</f>
        <v>#N/A</v>
      </c>
    </row>
    <row r="44" spans="1:8" s="102" customFormat="1" ht="19.899999999999999" customHeight="1" x14ac:dyDescent="0.25">
      <c r="A44" s="11"/>
      <c r="B44" s="234" t="str">
        <f>IFERROR(Calcs!$B8,"")</f>
        <v/>
      </c>
      <c r="C44" s="234"/>
      <c r="D44" s="234"/>
      <c r="E44" s="14" t="str">
        <f t="shared" si="0"/>
        <v/>
      </c>
      <c r="F44" s="14"/>
      <c r="G44" s="101" t="e">
        <f>VLOOKUP(B44,'Surety Calculations Form'!B52:H198,4,FALSE)</f>
        <v>#N/A</v>
      </c>
      <c r="H44" s="101" t="e">
        <f>VLOOKUP(B44,'Surety Calculations Form'!B52:H198,5,FALSE)</f>
        <v>#N/A</v>
      </c>
    </row>
    <row r="45" spans="1:8" s="102" customFormat="1" ht="19.899999999999999" customHeight="1" x14ac:dyDescent="0.25">
      <c r="A45" s="11"/>
      <c r="B45" s="234" t="str">
        <f>IFERROR(Calcs!$B9,"")</f>
        <v/>
      </c>
      <c r="C45" s="234"/>
      <c r="D45" s="234"/>
      <c r="E45" s="14" t="str">
        <f t="shared" si="0"/>
        <v/>
      </c>
      <c r="F45" s="14"/>
      <c r="G45" s="101" t="e">
        <f>VLOOKUP(B45,'Surety Calculations Form'!B53:H198,4,FALSE)</f>
        <v>#N/A</v>
      </c>
      <c r="H45" s="101" t="e">
        <f>VLOOKUP(B45,'Surety Calculations Form'!B53:H198,5,FALSE)</f>
        <v>#N/A</v>
      </c>
    </row>
    <row r="46" spans="1:8" s="102" customFormat="1" ht="19.899999999999999" customHeight="1" x14ac:dyDescent="0.25">
      <c r="A46" s="11"/>
      <c r="B46" s="234" t="str">
        <f>IFERROR(Calcs!$B10,"")</f>
        <v/>
      </c>
      <c r="C46" s="234"/>
      <c r="D46" s="234"/>
      <c r="E46" s="14" t="str">
        <f t="shared" si="0"/>
        <v/>
      </c>
      <c r="F46" s="14"/>
      <c r="G46" s="101" t="e">
        <f>VLOOKUP(B46,'Surety Calculations Form'!B54:H199,4,FALSE)</f>
        <v>#N/A</v>
      </c>
      <c r="H46" s="101" t="e">
        <f>VLOOKUP(B46,'Surety Calculations Form'!B54:H199,5,FALSE)</f>
        <v>#N/A</v>
      </c>
    </row>
    <row r="47" spans="1:8" s="102" customFormat="1" ht="19.899999999999999" customHeight="1" x14ac:dyDescent="0.25">
      <c r="A47" s="11"/>
      <c r="B47" s="234" t="str">
        <f>IFERROR(Calcs!$B11,"")</f>
        <v/>
      </c>
      <c r="C47" s="234"/>
      <c r="D47" s="234"/>
      <c r="E47" s="14" t="str">
        <f t="shared" si="0"/>
        <v/>
      </c>
      <c r="F47" s="14"/>
      <c r="G47" s="101" t="e">
        <f>VLOOKUP(B47,'Surety Calculations Form'!B55:H200,4,FALSE)</f>
        <v>#N/A</v>
      </c>
      <c r="H47" s="101" t="e">
        <f>VLOOKUP(B47,'Surety Calculations Form'!B55:H200,5,FALSE)</f>
        <v>#N/A</v>
      </c>
    </row>
    <row r="48" spans="1:8" s="102" customFormat="1" ht="19.899999999999999" customHeight="1" x14ac:dyDescent="0.25">
      <c r="A48" s="11"/>
      <c r="B48" s="234" t="str">
        <f>IFERROR(Calcs!$B12,"")</f>
        <v/>
      </c>
      <c r="C48" s="234"/>
      <c r="D48" s="234"/>
      <c r="E48" s="14" t="str">
        <f t="shared" si="0"/>
        <v/>
      </c>
      <c r="F48" s="14"/>
      <c r="G48" s="101" t="e">
        <f>VLOOKUP(B48,'Surety Calculations Form'!B56:H201,4,FALSE)</f>
        <v>#N/A</v>
      </c>
      <c r="H48" s="101" t="e">
        <f>VLOOKUP(B48,'Surety Calculations Form'!B56:H201,5,FALSE)</f>
        <v>#N/A</v>
      </c>
    </row>
    <row r="49" spans="1:8" s="102" customFormat="1" ht="19.899999999999999" customHeight="1" x14ac:dyDescent="0.25">
      <c r="A49" s="11"/>
      <c r="B49" s="234" t="str">
        <f>IFERROR(Calcs!$B13,"")</f>
        <v/>
      </c>
      <c r="C49" s="234"/>
      <c r="D49" s="234"/>
      <c r="E49" s="14" t="str">
        <f t="shared" si="0"/>
        <v/>
      </c>
      <c r="F49" s="14"/>
      <c r="G49" s="101" t="e">
        <f>VLOOKUP(B49,'Surety Calculations Form'!B57:H202,4,FALSE)</f>
        <v>#N/A</v>
      </c>
      <c r="H49" s="101" t="e">
        <f>VLOOKUP(B49,'Surety Calculations Form'!B57:H202,5,FALSE)</f>
        <v>#N/A</v>
      </c>
    </row>
    <row r="50" spans="1:8" s="102" customFormat="1" ht="19.899999999999999" customHeight="1" x14ac:dyDescent="0.25">
      <c r="A50" s="11"/>
      <c r="B50" s="234" t="str">
        <f>IFERROR(Calcs!$B14,"")</f>
        <v/>
      </c>
      <c r="C50" s="234"/>
      <c r="D50" s="234"/>
      <c r="E50" s="14" t="str">
        <f t="shared" si="0"/>
        <v/>
      </c>
      <c r="F50" s="14"/>
      <c r="G50" s="101" t="e">
        <f>VLOOKUP(B50,'Surety Calculations Form'!B58:H203,4,FALSE)</f>
        <v>#N/A</v>
      </c>
      <c r="H50" s="101" t="e">
        <f>VLOOKUP(B50,'Surety Calculations Form'!B58:H203,5,FALSE)</f>
        <v>#N/A</v>
      </c>
    </row>
    <row r="51" spans="1:8" s="102" customFormat="1" ht="19.899999999999999" customHeight="1" x14ac:dyDescent="0.25">
      <c r="A51" s="11"/>
      <c r="B51" s="234" t="str">
        <f>IFERROR(Calcs!$B15,"")</f>
        <v/>
      </c>
      <c r="C51" s="234"/>
      <c r="D51" s="234"/>
      <c r="E51" s="14" t="str">
        <f t="shared" si="0"/>
        <v/>
      </c>
      <c r="F51" s="14"/>
      <c r="G51" s="101" t="e">
        <f>VLOOKUP(B51,'Surety Calculations Form'!B59:H204,4,FALSE)</f>
        <v>#N/A</v>
      </c>
      <c r="H51" s="101" t="e">
        <f>VLOOKUP(B51,'Surety Calculations Form'!B59:H204,5,FALSE)</f>
        <v>#N/A</v>
      </c>
    </row>
    <row r="52" spans="1:8" s="102" customFormat="1" ht="19.899999999999999" customHeight="1" x14ac:dyDescent="0.25">
      <c r="A52" s="11"/>
      <c r="B52" s="234" t="str">
        <f>IFERROR(Calcs!$B16,"")</f>
        <v/>
      </c>
      <c r="C52" s="234"/>
      <c r="D52" s="234"/>
      <c r="E52" s="14" t="str">
        <f t="shared" si="0"/>
        <v/>
      </c>
      <c r="F52" s="14"/>
      <c r="G52" s="101" t="e">
        <f>VLOOKUP(B52,'Surety Calculations Form'!B60:H205,4,FALSE)</f>
        <v>#N/A</v>
      </c>
      <c r="H52" s="101" t="e">
        <f>VLOOKUP(B52,'Surety Calculations Form'!B60:H205,5,FALSE)</f>
        <v>#N/A</v>
      </c>
    </row>
    <row r="53" spans="1:8" s="102" customFormat="1" ht="19.899999999999999" customHeight="1" x14ac:dyDescent="0.25">
      <c r="A53" s="11"/>
      <c r="B53" s="234" t="str">
        <f>IFERROR(Calcs!$B17,"")</f>
        <v/>
      </c>
      <c r="C53" s="234"/>
      <c r="D53" s="234"/>
      <c r="E53" s="14" t="str">
        <f t="shared" si="0"/>
        <v/>
      </c>
      <c r="F53" s="14"/>
      <c r="G53" s="101" t="e">
        <f>VLOOKUP(B53,'Surety Calculations Form'!B61:H206,4,FALSE)</f>
        <v>#N/A</v>
      </c>
      <c r="H53" s="101" t="e">
        <f>VLOOKUP(B53,'Surety Calculations Form'!B61:H206,5,FALSE)</f>
        <v>#N/A</v>
      </c>
    </row>
    <row r="54" spans="1:8" s="102" customFormat="1" ht="19.899999999999999" customHeight="1" x14ac:dyDescent="0.25">
      <c r="A54" s="11"/>
      <c r="B54" s="234" t="str">
        <f>IFERROR(Calcs!$B18,"")</f>
        <v/>
      </c>
      <c r="C54" s="234"/>
      <c r="D54" s="234"/>
      <c r="E54" s="14" t="str">
        <f t="shared" si="0"/>
        <v/>
      </c>
      <c r="F54" s="14"/>
      <c r="G54" s="101" t="e">
        <f>VLOOKUP(B54,'Surety Calculations Form'!B62:H207,4,FALSE)</f>
        <v>#N/A</v>
      </c>
      <c r="H54" s="101" t="e">
        <f>VLOOKUP(B54,'Surety Calculations Form'!B62:H207,5,FALSE)</f>
        <v>#N/A</v>
      </c>
    </row>
    <row r="55" spans="1:8" s="102" customFormat="1" ht="19.899999999999999" customHeight="1" x14ac:dyDescent="0.25">
      <c r="A55" s="11"/>
      <c r="B55" s="234" t="str">
        <f>IFERROR(Calcs!$B19,"")</f>
        <v/>
      </c>
      <c r="C55" s="234"/>
      <c r="D55" s="234"/>
      <c r="E55" s="14" t="str">
        <f t="shared" si="0"/>
        <v/>
      </c>
      <c r="F55" s="14"/>
      <c r="G55" s="101" t="e">
        <f>VLOOKUP(B55,'Surety Calculations Form'!B63:H208,4,FALSE)</f>
        <v>#N/A</v>
      </c>
      <c r="H55" s="101" t="e">
        <f>VLOOKUP(B55,'Surety Calculations Form'!B63:H208,5,FALSE)</f>
        <v>#N/A</v>
      </c>
    </row>
    <row r="56" spans="1:8" s="102" customFormat="1" ht="19.899999999999999" customHeight="1" x14ac:dyDescent="0.25">
      <c r="A56" s="11"/>
      <c r="B56" s="234" t="str">
        <f>IFERROR(Calcs!$B20,"")</f>
        <v/>
      </c>
      <c r="C56" s="234"/>
      <c r="D56" s="234"/>
      <c r="E56" s="14" t="str">
        <f t="shared" si="0"/>
        <v/>
      </c>
      <c r="F56" s="14"/>
      <c r="G56" s="101" t="e">
        <f>VLOOKUP(B56,'Surety Calculations Form'!B64:H209,4,FALSE)</f>
        <v>#N/A</v>
      </c>
      <c r="H56" s="101" t="e">
        <f>VLOOKUP(B56,'Surety Calculations Form'!B64:H209,5,FALSE)</f>
        <v>#N/A</v>
      </c>
    </row>
    <row r="57" spans="1:8" s="102" customFormat="1" ht="19.899999999999999" customHeight="1" x14ac:dyDescent="0.25">
      <c r="A57" s="11"/>
      <c r="B57" s="234" t="str">
        <f>IFERROR(Calcs!$B21,"")</f>
        <v/>
      </c>
      <c r="C57" s="234"/>
      <c r="D57" s="234"/>
      <c r="E57" s="14" t="str">
        <f t="shared" si="0"/>
        <v/>
      </c>
      <c r="F57" s="14"/>
      <c r="G57" s="101" t="e">
        <f>VLOOKUP(B57,'Surety Calculations Form'!B65:H210,4,FALSE)</f>
        <v>#N/A</v>
      </c>
      <c r="H57" s="101" t="e">
        <f>VLOOKUP(B57,'Surety Calculations Form'!B65:H210,5,FALSE)</f>
        <v>#N/A</v>
      </c>
    </row>
    <row r="58" spans="1:8" s="102" customFormat="1" ht="19.899999999999999" customHeight="1" x14ac:dyDescent="0.25">
      <c r="A58" s="11"/>
      <c r="B58" s="234" t="str">
        <f>IFERROR(Calcs!$B22,"")</f>
        <v/>
      </c>
      <c r="C58" s="234"/>
      <c r="D58" s="234"/>
      <c r="E58" s="14" t="str">
        <f t="shared" si="0"/>
        <v/>
      </c>
      <c r="F58" s="14"/>
      <c r="G58" s="101" t="e">
        <f>VLOOKUP(B58,'Surety Calculations Form'!B66:H211,4,FALSE)</f>
        <v>#N/A</v>
      </c>
      <c r="H58" s="101" t="e">
        <f>VLOOKUP(B58,'Surety Calculations Form'!B66:H211,5,FALSE)</f>
        <v>#N/A</v>
      </c>
    </row>
    <row r="59" spans="1:8" s="102" customFormat="1" ht="19.899999999999999" customHeight="1" x14ac:dyDescent="0.25">
      <c r="A59" s="11"/>
      <c r="B59" s="234" t="str">
        <f>IFERROR(Calcs!$B23,"")</f>
        <v/>
      </c>
      <c r="C59" s="234"/>
      <c r="D59" s="234"/>
      <c r="E59" s="14" t="str">
        <f t="shared" si="0"/>
        <v/>
      </c>
      <c r="F59" s="14"/>
      <c r="G59" s="101" t="e">
        <f>VLOOKUP(B59,'Surety Calculations Form'!B67:H212,4,FALSE)</f>
        <v>#N/A</v>
      </c>
      <c r="H59" s="101" t="e">
        <f>VLOOKUP(B59,'Surety Calculations Form'!B67:H212,5,FALSE)</f>
        <v>#N/A</v>
      </c>
    </row>
    <row r="60" spans="1:8" s="102" customFormat="1" ht="19.899999999999999" customHeight="1" x14ac:dyDescent="0.25">
      <c r="A60" s="11"/>
      <c r="B60" s="234" t="str">
        <f>IFERROR(Calcs!$B24,"")</f>
        <v/>
      </c>
      <c r="C60" s="234"/>
      <c r="D60" s="234"/>
      <c r="E60" s="14" t="str">
        <f t="shared" si="0"/>
        <v/>
      </c>
      <c r="F60" s="14"/>
      <c r="G60" s="101" t="e">
        <f>VLOOKUP(B60,'Surety Calculations Form'!B68:H213,4,FALSE)</f>
        <v>#N/A</v>
      </c>
      <c r="H60" s="101" t="e">
        <f>VLOOKUP(B60,'Surety Calculations Form'!B68:H213,5,FALSE)</f>
        <v>#N/A</v>
      </c>
    </row>
    <row r="61" spans="1:8" s="102" customFormat="1" ht="19.899999999999999" customHeight="1" x14ac:dyDescent="0.25">
      <c r="A61" s="11"/>
      <c r="B61" s="234" t="str">
        <f>IFERROR(Calcs!$B25,"")</f>
        <v/>
      </c>
      <c r="C61" s="234"/>
      <c r="D61" s="234"/>
      <c r="E61" s="14" t="str">
        <f t="shared" si="0"/>
        <v/>
      </c>
      <c r="F61" s="14"/>
      <c r="G61" s="101" t="e">
        <f>VLOOKUP(B61,'Surety Calculations Form'!B69:H214,4,FALSE)</f>
        <v>#N/A</v>
      </c>
      <c r="H61" s="101" t="e">
        <f>VLOOKUP(B61,'Surety Calculations Form'!B69:H214,5,FALSE)</f>
        <v>#N/A</v>
      </c>
    </row>
    <row r="62" spans="1:8" s="102" customFormat="1" ht="19.899999999999999" customHeight="1" x14ac:dyDescent="0.25">
      <c r="A62" s="11"/>
      <c r="B62" s="234" t="str">
        <f>IFERROR(Calcs!$B26,"")</f>
        <v/>
      </c>
      <c r="C62" s="234"/>
      <c r="D62" s="234"/>
      <c r="E62" s="14" t="str">
        <f t="shared" si="0"/>
        <v/>
      </c>
      <c r="F62" s="14"/>
      <c r="G62" s="101" t="e">
        <f>VLOOKUP(B62,'Surety Calculations Form'!B70:H215,4,FALSE)</f>
        <v>#N/A</v>
      </c>
      <c r="H62" s="101" t="e">
        <f>VLOOKUP(B62,'Surety Calculations Form'!B70:H215,5,FALSE)</f>
        <v>#N/A</v>
      </c>
    </row>
    <row r="63" spans="1:8" s="102" customFormat="1" ht="19.899999999999999" customHeight="1" x14ac:dyDescent="0.25">
      <c r="A63" s="11"/>
      <c r="B63" s="234" t="str">
        <f>IFERROR(Calcs!$B27,"")</f>
        <v/>
      </c>
      <c r="C63" s="234"/>
      <c r="D63" s="234"/>
      <c r="E63" s="14" t="str">
        <f t="shared" si="0"/>
        <v/>
      </c>
      <c r="F63" s="14"/>
      <c r="G63" s="101" t="e">
        <f>VLOOKUP(B63,'Surety Calculations Form'!B71:H216,4,FALSE)</f>
        <v>#N/A</v>
      </c>
      <c r="H63" s="101" t="e">
        <f>VLOOKUP(B63,'Surety Calculations Form'!B71:H216,5,FALSE)</f>
        <v>#N/A</v>
      </c>
    </row>
    <row r="64" spans="1:8" s="102" customFormat="1" ht="19.899999999999999" customHeight="1" x14ac:dyDescent="0.25">
      <c r="A64" s="11"/>
      <c r="B64" s="234" t="str">
        <f>IFERROR(Calcs!$B28,"")</f>
        <v/>
      </c>
      <c r="C64" s="234"/>
      <c r="D64" s="234"/>
      <c r="E64" s="14" t="str">
        <f t="shared" si="0"/>
        <v/>
      </c>
      <c r="F64" s="14"/>
      <c r="G64" s="101" t="e">
        <f>VLOOKUP(B64,'Surety Calculations Form'!B72:H217,4,FALSE)</f>
        <v>#N/A</v>
      </c>
      <c r="H64" s="101" t="e">
        <f>VLOOKUP(B64,'Surety Calculations Form'!B72:H217,5,FALSE)</f>
        <v>#N/A</v>
      </c>
    </row>
    <row r="65" spans="1:8" s="102" customFormat="1" ht="19.899999999999999" customHeight="1" x14ac:dyDescent="0.25">
      <c r="A65" s="11"/>
      <c r="B65" s="234" t="str">
        <f>IFERROR(Calcs!$B29,"")</f>
        <v/>
      </c>
      <c r="C65" s="234"/>
      <c r="D65" s="234"/>
      <c r="E65" s="14" t="str">
        <f t="shared" si="0"/>
        <v/>
      </c>
      <c r="F65" s="14"/>
      <c r="G65" s="101" t="e">
        <f>VLOOKUP(B65,'Surety Calculations Form'!B73:H218,4,FALSE)</f>
        <v>#N/A</v>
      </c>
      <c r="H65" s="101" t="e">
        <f>VLOOKUP(B65,'Surety Calculations Form'!B73:H218,5,FALSE)</f>
        <v>#N/A</v>
      </c>
    </row>
    <row r="66" spans="1:8" s="102" customFormat="1" ht="19.899999999999999" customHeight="1" x14ac:dyDescent="0.25">
      <c r="A66" s="11"/>
      <c r="B66" s="234" t="str">
        <f>IFERROR(Calcs!$B30,"")</f>
        <v/>
      </c>
      <c r="C66" s="234"/>
      <c r="D66" s="234"/>
      <c r="E66" s="14" t="str">
        <f t="shared" si="0"/>
        <v/>
      </c>
      <c r="F66" s="14"/>
      <c r="G66" s="101" t="e">
        <f>VLOOKUP(B66,'Surety Calculations Form'!B74:H219,4,FALSE)</f>
        <v>#N/A</v>
      </c>
      <c r="H66" s="101" t="e">
        <f>VLOOKUP(B66,'Surety Calculations Form'!B74:H219,5,FALSE)</f>
        <v>#N/A</v>
      </c>
    </row>
    <row r="67" spans="1:8" s="102" customFormat="1" ht="19.899999999999999" customHeight="1" x14ac:dyDescent="0.25">
      <c r="A67" s="11"/>
      <c r="B67" s="234" t="str">
        <f>IFERROR(Calcs!$B31,"")</f>
        <v/>
      </c>
      <c r="C67" s="234"/>
      <c r="D67" s="234"/>
      <c r="E67" s="14" t="str">
        <f t="shared" si="0"/>
        <v/>
      </c>
      <c r="F67" s="14"/>
      <c r="G67" s="101" t="e">
        <f>VLOOKUP(B67,'Surety Calculations Form'!B75:H220,4,FALSE)</f>
        <v>#N/A</v>
      </c>
      <c r="H67" s="101" t="e">
        <f>VLOOKUP(B67,'Surety Calculations Form'!B75:H220,5,FALSE)</f>
        <v>#N/A</v>
      </c>
    </row>
    <row r="68" spans="1:8" s="102" customFormat="1" ht="19.899999999999999" customHeight="1" x14ac:dyDescent="0.25">
      <c r="A68" s="11"/>
      <c r="B68" s="234" t="str">
        <f>IFERROR(Calcs!$B32,"")</f>
        <v/>
      </c>
      <c r="C68" s="234"/>
      <c r="D68" s="234"/>
      <c r="E68" s="14" t="str">
        <f t="shared" si="0"/>
        <v/>
      </c>
      <c r="F68" s="14"/>
      <c r="G68" s="101" t="e">
        <f>VLOOKUP(B68,'Surety Calculations Form'!B76:H221,4,FALSE)</f>
        <v>#N/A</v>
      </c>
      <c r="H68" s="101" t="e">
        <f>VLOOKUP(B68,'Surety Calculations Form'!B76:H221,5,FALSE)</f>
        <v>#N/A</v>
      </c>
    </row>
    <row r="69" spans="1:8" s="102" customFormat="1" ht="19.899999999999999" customHeight="1" x14ac:dyDescent="0.25">
      <c r="A69" s="11"/>
      <c r="B69" s="234" t="str">
        <f>IFERROR(Calcs!$B33,"")</f>
        <v/>
      </c>
      <c r="C69" s="234"/>
      <c r="D69" s="234"/>
      <c r="E69" s="14" t="str">
        <f t="shared" si="0"/>
        <v/>
      </c>
      <c r="F69" s="14"/>
      <c r="G69" s="101" t="e">
        <f>VLOOKUP(B69,'Surety Calculations Form'!B77:H222,4,FALSE)</f>
        <v>#N/A</v>
      </c>
      <c r="H69" s="101" t="e">
        <f>VLOOKUP(B69,'Surety Calculations Form'!B77:H222,5,FALSE)</f>
        <v>#N/A</v>
      </c>
    </row>
    <row r="70" spans="1:8" s="102" customFormat="1" ht="19.899999999999999" customHeight="1" x14ac:dyDescent="0.25">
      <c r="A70" s="11"/>
      <c r="B70" s="234" t="str">
        <f>IFERROR(Calcs!$B34,"")</f>
        <v/>
      </c>
      <c r="C70" s="234"/>
      <c r="D70" s="234"/>
      <c r="E70" s="14" t="str">
        <f t="shared" si="0"/>
        <v/>
      </c>
      <c r="F70" s="14"/>
      <c r="G70" s="101" t="e">
        <f>VLOOKUP(B70,'Surety Calculations Form'!B78:H223,4,FALSE)</f>
        <v>#N/A</v>
      </c>
      <c r="H70" s="101" t="e">
        <f>VLOOKUP(B70,'Surety Calculations Form'!B78:H223,5,FALSE)</f>
        <v>#N/A</v>
      </c>
    </row>
    <row r="71" spans="1:8" s="102" customFormat="1" ht="19.899999999999999" customHeight="1" x14ac:dyDescent="0.25">
      <c r="A71" s="11"/>
      <c r="B71" s="234" t="str">
        <f>IFERROR(Calcs!$B35,"")</f>
        <v/>
      </c>
      <c r="C71" s="234"/>
      <c r="D71" s="234"/>
      <c r="E71" s="14" t="str">
        <f t="shared" si="0"/>
        <v/>
      </c>
      <c r="F71" s="14"/>
      <c r="G71" s="101" t="e">
        <f>VLOOKUP(B71,'Surety Calculations Form'!B79:H224,4,FALSE)</f>
        <v>#N/A</v>
      </c>
      <c r="H71" s="101" t="e">
        <f>VLOOKUP(B71,'Surety Calculations Form'!B79:H224,5,FALSE)</f>
        <v>#N/A</v>
      </c>
    </row>
    <row r="72" spans="1:8" s="102" customFormat="1" ht="19.899999999999999" customHeight="1" x14ac:dyDescent="0.25">
      <c r="A72" s="11"/>
      <c r="B72" s="234" t="str">
        <f>IFERROR(Calcs!$B36,"")</f>
        <v/>
      </c>
      <c r="C72" s="234"/>
      <c r="D72" s="234"/>
      <c r="E72" s="14" t="str">
        <f t="shared" si="0"/>
        <v/>
      </c>
      <c r="F72" s="14"/>
      <c r="G72" s="101" t="e">
        <f>VLOOKUP(B72,'Surety Calculations Form'!B80:H225,4,FALSE)</f>
        <v>#N/A</v>
      </c>
      <c r="H72" s="101" t="e">
        <f>VLOOKUP(B72,'Surety Calculations Form'!B80:H225,5,FALSE)</f>
        <v>#N/A</v>
      </c>
    </row>
    <row r="73" spans="1:8" s="102" customFormat="1" ht="19.899999999999999" customHeight="1" x14ac:dyDescent="0.25">
      <c r="A73" s="11"/>
      <c r="B73" s="234" t="str">
        <f>IFERROR(Calcs!$B37,"")</f>
        <v/>
      </c>
      <c r="C73" s="234"/>
      <c r="D73" s="234"/>
      <c r="E73" s="14" t="str">
        <f t="shared" si="0"/>
        <v/>
      </c>
      <c r="F73" s="14"/>
      <c r="G73" s="101" t="e">
        <f>VLOOKUP(B73,'Surety Calculations Form'!B81:H226,4,FALSE)</f>
        <v>#N/A</v>
      </c>
      <c r="H73" s="101" t="e">
        <f>VLOOKUP(B73,'Surety Calculations Form'!B81:H226,5,FALSE)</f>
        <v>#N/A</v>
      </c>
    </row>
    <row r="74" spans="1:8" s="102" customFormat="1" ht="19.899999999999999" customHeight="1" x14ac:dyDescent="0.25">
      <c r="A74" s="11"/>
      <c r="B74" s="234" t="str">
        <f>IFERROR(Calcs!$B38,"")</f>
        <v/>
      </c>
      <c r="C74" s="234"/>
      <c r="D74" s="234"/>
      <c r="E74" s="14" t="str">
        <f t="shared" si="0"/>
        <v/>
      </c>
      <c r="F74" s="14"/>
      <c r="G74" s="101" t="e">
        <f>VLOOKUP(B74,'Surety Calculations Form'!B82:H227,4,FALSE)</f>
        <v>#N/A</v>
      </c>
      <c r="H74" s="101" t="e">
        <f>VLOOKUP(B74,'Surety Calculations Form'!B82:H227,5,FALSE)</f>
        <v>#N/A</v>
      </c>
    </row>
    <row r="75" spans="1:8" s="102" customFormat="1" ht="19.899999999999999" customHeight="1" x14ac:dyDescent="0.25">
      <c r="A75" s="11"/>
      <c r="B75" s="234" t="str">
        <f>IFERROR(Calcs!$B39,"")</f>
        <v/>
      </c>
      <c r="C75" s="234"/>
      <c r="D75" s="234"/>
      <c r="E75" s="14" t="str">
        <f t="shared" si="0"/>
        <v/>
      </c>
      <c r="F75" s="14"/>
      <c r="G75" s="101" t="e">
        <f>VLOOKUP(B75,'Surety Calculations Form'!B83:H228,4,FALSE)</f>
        <v>#N/A</v>
      </c>
      <c r="H75" s="101" t="e">
        <f>VLOOKUP(B75,'Surety Calculations Form'!B83:H228,5,FALSE)</f>
        <v>#N/A</v>
      </c>
    </row>
    <row r="76" spans="1:8" s="102" customFormat="1" ht="19.899999999999999" customHeight="1" x14ac:dyDescent="0.25">
      <c r="A76" s="11"/>
      <c r="B76" s="234" t="str">
        <f>IFERROR(Calcs!$B40,"")</f>
        <v/>
      </c>
      <c r="C76" s="234"/>
      <c r="D76" s="234"/>
      <c r="E76" s="14" t="str">
        <f t="shared" si="0"/>
        <v/>
      </c>
      <c r="F76" s="14"/>
      <c r="G76" s="101" t="e">
        <f>VLOOKUP(B76,'Surety Calculations Form'!B84:H229,4,FALSE)</f>
        <v>#N/A</v>
      </c>
      <c r="H76" s="101" t="e">
        <f>VLOOKUP(B76,'Surety Calculations Form'!B84:H229,5,FALSE)</f>
        <v>#N/A</v>
      </c>
    </row>
    <row r="77" spans="1:8" s="102" customFormat="1" ht="19.899999999999999" customHeight="1" x14ac:dyDescent="0.25">
      <c r="A77" s="11"/>
      <c r="B77" s="234" t="str">
        <f>IFERROR(Calcs!$B41,"")</f>
        <v/>
      </c>
      <c r="C77" s="234"/>
      <c r="D77" s="234"/>
      <c r="E77" s="14" t="str">
        <f t="shared" si="0"/>
        <v/>
      </c>
      <c r="F77" s="14"/>
      <c r="G77" s="101" t="e">
        <f>VLOOKUP(B77,'Surety Calculations Form'!B85:H230,4,FALSE)</f>
        <v>#N/A</v>
      </c>
      <c r="H77" s="101" t="e">
        <f>VLOOKUP(B77,'Surety Calculations Form'!B85:H230,5,FALSE)</f>
        <v>#N/A</v>
      </c>
    </row>
    <row r="78" spans="1:8" s="102" customFormat="1" ht="19.899999999999999" customHeight="1" x14ac:dyDescent="0.25">
      <c r="A78" s="11"/>
      <c r="B78" s="234" t="str">
        <f>IFERROR(Calcs!$B42,"")</f>
        <v/>
      </c>
      <c r="C78" s="234"/>
      <c r="D78" s="234"/>
      <c r="E78" s="14" t="str">
        <f t="shared" si="0"/>
        <v/>
      </c>
      <c r="F78" s="14"/>
      <c r="G78" s="101" t="e">
        <f>VLOOKUP(B78,'Surety Calculations Form'!B86:H231,4,FALSE)</f>
        <v>#N/A</v>
      </c>
      <c r="H78" s="101" t="e">
        <f>VLOOKUP(B78,'Surety Calculations Form'!B86:H231,5,FALSE)</f>
        <v>#N/A</v>
      </c>
    </row>
    <row r="79" spans="1:8" s="102" customFormat="1" ht="19.899999999999999" customHeight="1" x14ac:dyDescent="0.25">
      <c r="A79" s="11"/>
      <c r="B79" s="234" t="str">
        <f>IFERROR(Calcs!$B43,"")</f>
        <v/>
      </c>
      <c r="C79" s="234"/>
      <c r="D79" s="234"/>
      <c r="E79" s="14" t="str">
        <f t="shared" si="0"/>
        <v/>
      </c>
      <c r="F79" s="14"/>
      <c r="G79" s="101" t="e">
        <f>VLOOKUP(B79,'Surety Calculations Form'!B87:H232,4,FALSE)</f>
        <v>#N/A</v>
      </c>
      <c r="H79" s="101" t="e">
        <f>VLOOKUP(B79,'Surety Calculations Form'!B87:H232,5,FALSE)</f>
        <v>#N/A</v>
      </c>
    </row>
    <row r="80" spans="1:8" s="102" customFormat="1" ht="19.899999999999999" customHeight="1" x14ac:dyDescent="0.25">
      <c r="A80" s="11"/>
      <c r="B80" s="234" t="str">
        <f>IFERROR(Calcs!$B44,"")</f>
        <v/>
      </c>
      <c r="C80" s="234"/>
      <c r="D80" s="234"/>
      <c r="E80" s="14" t="str">
        <f t="shared" si="0"/>
        <v/>
      </c>
      <c r="F80" s="14"/>
      <c r="G80" s="101" t="e">
        <f>VLOOKUP(B80,'Surety Calculations Form'!B88:H233,4,FALSE)</f>
        <v>#N/A</v>
      </c>
      <c r="H80" s="101" t="e">
        <f>VLOOKUP(B80,'Surety Calculations Form'!B88:H233,5,FALSE)</f>
        <v>#N/A</v>
      </c>
    </row>
    <row r="81" spans="1:8" s="102" customFormat="1" ht="19.899999999999999" customHeight="1" x14ac:dyDescent="0.25">
      <c r="A81" s="11"/>
      <c r="B81" s="234" t="str">
        <f>IFERROR(Calcs!$B45,"")</f>
        <v/>
      </c>
      <c r="C81" s="234"/>
      <c r="D81" s="234"/>
      <c r="E81" s="14" t="str">
        <f t="shared" si="0"/>
        <v/>
      </c>
      <c r="F81" s="14"/>
      <c r="G81" s="101" t="e">
        <f>VLOOKUP(B81,'Surety Calculations Form'!B89:H234,4,FALSE)</f>
        <v>#N/A</v>
      </c>
      <c r="H81" s="101" t="e">
        <f>VLOOKUP(B81,'Surety Calculations Form'!B89:H234,5,FALSE)</f>
        <v>#N/A</v>
      </c>
    </row>
    <row r="82" spans="1:8" s="102" customFormat="1" ht="19.899999999999999" customHeight="1" x14ac:dyDescent="0.25">
      <c r="A82" s="11"/>
      <c r="B82" s="234" t="str">
        <f>IFERROR(Calcs!$B46,"")</f>
        <v/>
      </c>
      <c r="C82" s="234"/>
      <c r="D82" s="234"/>
      <c r="E82" s="14" t="str">
        <f t="shared" si="0"/>
        <v/>
      </c>
      <c r="F82" s="14"/>
      <c r="G82" s="101" t="e">
        <f>VLOOKUP(B82,'Surety Calculations Form'!B90:H235,4,FALSE)</f>
        <v>#N/A</v>
      </c>
      <c r="H82" s="101" t="e">
        <f>VLOOKUP(B82,'Surety Calculations Form'!B90:H235,5,FALSE)</f>
        <v>#N/A</v>
      </c>
    </row>
    <row r="83" spans="1:8" s="102" customFormat="1" ht="19.899999999999999" customHeight="1" x14ac:dyDescent="0.25">
      <c r="A83" s="11"/>
      <c r="B83" s="234" t="str">
        <f>IFERROR(Calcs!$B47,"")</f>
        <v/>
      </c>
      <c r="C83" s="234"/>
      <c r="D83" s="234"/>
      <c r="E83" s="14" t="str">
        <f t="shared" si="0"/>
        <v/>
      </c>
      <c r="F83" s="14"/>
      <c r="G83" s="101" t="e">
        <f>VLOOKUP(B83,'Surety Calculations Form'!B91:H236,4,FALSE)</f>
        <v>#N/A</v>
      </c>
      <c r="H83" s="101" t="e">
        <f>VLOOKUP(B83,'Surety Calculations Form'!B91:H236,5,FALSE)</f>
        <v>#N/A</v>
      </c>
    </row>
    <row r="84" spans="1:8" s="102" customFormat="1" ht="19.899999999999999" customHeight="1" x14ac:dyDescent="0.25">
      <c r="A84" s="11"/>
      <c r="B84" s="234" t="str">
        <f>IFERROR(Calcs!$B48,"")</f>
        <v/>
      </c>
      <c r="C84" s="234"/>
      <c r="D84" s="234"/>
      <c r="E84" s="14" t="str">
        <f t="shared" si="0"/>
        <v/>
      </c>
      <c r="F84" s="14"/>
      <c r="G84" s="101" t="e">
        <f>VLOOKUP(B84,'Surety Calculations Form'!B92:H237,4,FALSE)</f>
        <v>#N/A</v>
      </c>
      <c r="H84" s="101" t="e">
        <f>VLOOKUP(B84,'Surety Calculations Form'!B92:H237,5,FALSE)</f>
        <v>#N/A</v>
      </c>
    </row>
    <row r="85" spans="1:8" s="102" customFormat="1" ht="19.899999999999999" customHeight="1" x14ac:dyDescent="0.25">
      <c r="A85" s="11"/>
      <c r="B85" s="234" t="str">
        <f>IFERROR(Calcs!$B49,"")</f>
        <v/>
      </c>
      <c r="C85" s="234"/>
      <c r="D85" s="234"/>
      <c r="E85" s="14" t="str">
        <f t="shared" si="0"/>
        <v/>
      </c>
      <c r="F85" s="14"/>
      <c r="G85" s="101" t="e">
        <f>VLOOKUP(B85,'Surety Calculations Form'!B93:H238,4,FALSE)</f>
        <v>#N/A</v>
      </c>
      <c r="H85" s="101" t="e">
        <f>VLOOKUP(B85,'Surety Calculations Form'!B93:H238,5,FALSE)</f>
        <v>#N/A</v>
      </c>
    </row>
    <row r="86" spans="1:8" s="102" customFormat="1" ht="19.899999999999999" customHeight="1" x14ac:dyDescent="0.25">
      <c r="A86" s="11"/>
      <c r="B86" s="234" t="str">
        <f>IFERROR(Calcs!$B50,"")</f>
        <v/>
      </c>
      <c r="C86" s="234"/>
      <c r="D86" s="234"/>
      <c r="E86" s="14" t="str">
        <f t="shared" si="0"/>
        <v/>
      </c>
      <c r="F86" s="14"/>
      <c r="G86" s="101" t="e">
        <f>VLOOKUP(B86,'Surety Calculations Form'!B94:H239,4,FALSE)</f>
        <v>#N/A</v>
      </c>
      <c r="H86" s="101" t="e">
        <f>VLOOKUP(B86,'Surety Calculations Form'!B94:H239,5,FALSE)</f>
        <v>#N/A</v>
      </c>
    </row>
    <row r="87" spans="1:8" s="102" customFormat="1" ht="19.899999999999999" customHeight="1" x14ac:dyDescent="0.25">
      <c r="A87" s="11"/>
      <c r="B87" s="234" t="str">
        <f>IFERROR(Calcs!$B51,"")</f>
        <v/>
      </c>
      <c r="C87" s="234"/>
      <c r="D87" s="234"/>
      <c r="E87" s="14" t="str">
        <f t="shared" si="0"/>
        <v/>
      </c>
      <c r="F87" s="14"/>
      <c r="G87" s="101" t="e">
        <f>VLOOKUP(B87,'Surety Calculations Form'!B95:H240,4,FALSE)</f>
        <v>#N/A</v>
      </c>
      <c r="H87" s="101" t="e">
        <f>VLOOKUP(B87,'Surety Calculations Form'!B95:H240,5,FALSE)</f>
        <v>#N/A</v>
      </c>
    </row>
    <row r="88" spans="1:8" s="102" customFormat="1" ht="19.899999999999999" customHeight="1" x14ac:dyDescent="0.25">
      <c r="A88" s="11"/>
      <c r="B88" s="234" t="str">
        <f>IFERROR(Calcs!$B52,"")</f>
        <v/>
      </c>
      <c r="C88" s="234"/>
      <c r="D88" s="234"/>
      <c r="E88" s="14" t="str">
        <f t="shared" si="0"/>
        <v/>
      </c>
      <c r="F88" s="14"/>
      <c r="G88" s="101" t="e">
        <f>VLOOKUP(B88,'Surety Calculations Form'!B96:H241,4,FALSE)</f>
        <v>#N/A</v>
      </c>
      <c r="H88" s="101" t="e">
        <f>VLOOKUP(B88,'Surety Calculations Form'!B96:H241,5,FALSE)</f>
        <v>#N/A</v>
      </c>
    </row>
    <row r="89" spans="1:8" s="102" customFormat="1" ht="19.899999999999999" customHeight="1" x14ac:dyDescent="0.25">
      <c r="A89" s="11"/>
      <c r="B89" s="234" t="str">
        <f>IFERROR(Calcs!$B53,"")</f>
        <v/>
      </c>
      <c r="C89" s="234"/>
      <c r="D89" s="234"/>
      <c r="E89" s="14" t="str">
        <f t="shared" si="0"/>
        <v/>
      </c>
      <c r="F89" s="14"/>
      <c r="G89" s="101" t="e">
        <f>VLOOKUP(B89,'Surety Calculations Form'!B97:H242,4,FALSE)</f>
        <v>#N/A</v>
      </c>
      <c r="H89" s="101" t="e">
        <f>VLOOKUP(B89,'Surety Calculations Form'!B97:H242,5,FALSE)</f>
        <v>#N/A</v>
      </c>
    </row>
    <row r="90" spans="1:8" s="102" customFormat="1" ht="19.899999999999999" customHeight="1" x14ac:dyDescent="0.25">
      <c r="A90" s="11"/>
      <c r="B90" s="234" t="str">
        <f>IFERROR(Calcs!$B54,"")</f>
        <v/>
      </c>
      <c r="C90" s="234"/>
      <c r="D90" s="234"/>
      <c r="E90" s="14" t="str">
        <f t="shared" si="0"/>
        <v/>
      </c>
      <c r="F90" s="14"/>
      <c r="G90" s="101" t="e">
        <f>VLOOKUP(B90,'Surety Calculations Form'!B98:H243,4,FALSE)</f>
        <v>#N/A</v>
      </c>
      <c r="H90" s="101" t="e">
        <f>VLOOKUP(B90,'Surety Calculations Form'!B98:H243,5,FALSE)</f>
        <v>#N/A</v>
      </c>
    </row>
    <row r="91" spans="1:8" s="102" customFormat="1" ht="19.899999999999999" customHeight="1" x14ac:dyDescent="0.25">
      <c r="A91" s="11"/>
      <c r="B91" s="234" t="str">
        <f>IFERROR(Calcs!$B55,"")</f>
        <v/>
      </c>
      <c r="C91" s="234"/>
      <c r="D91" s="234"/>
      <c r="E91" s="14" t="str">
        <f t="shared" si="0"/>
        <v/>
      </c>
      <c r="F91" s="14"/>
      <c r="G91" s="101" t="e">
        <f>VLOOKUP(B91,'Surety Calculations Form'!B99:H244,4,FALSE)</f>
        <v>#N/A</v>
      </c>
      <c r="H91" s="101" t="e">
        <f>VLOOKUP(B91,'Surety Calculations Form'!B99:H244,5,FALSE)</f>
        <v>#N/A</v>
      </c>
    </row>
    <row r="92" spans="1:8" s="102" customFormat="1" ht="19.899999999999999" customHeight="1" x14ac:dyDescent="0.25">
      <c r="A92" s="11"/>
      <c r="B92" s="234" t="str">
        <f>IFERROR(Calcs!$B56,"")</f>
        <v/>
      </c>
      <c r="C92" s="234"/>
      <c r="D92" s="234"/>
      <c r="E92" s="14" t="str">
        <f t="shared" si="0"/>
        <v/>
      </c>
      <c r="F92" s="14"/>
      <c r="G92" s="101" t="e">
        <f>VLOOKUP(B92,'Surety Calculations Form'!B100:H245,4,FALSE)</f>
        <v>#N/A</v>
      </c>
      <c r="H92" s="101" t="e">
        <f>VLOOKUP(B92,'Surety Calculations Form'!B100:H245,5,FALSE)</f>
        <v>#N/A</v>
      </c>
    </row>
    <row r="93" spans="1:8" s="102" customFormat="1" ht="19.899999999999999" customHeight="1" x14ac:dyDescent="0.25">
      <c r="A93" s="11"/>
      <c r="B93" s="234" t="str">
        <f>IFERROR(Calcs!$B57,"")</f>
        <v/>
      </c>
      <c r="C93" s="234"/>
      <c r="D93" s="234"/>
      <c r="E93" s="14" t="str">
        <f t="shared" si="0"/>
        <v/>
      </c>
      <c r="F93" s="14"/>
      <c r="G93" s="101" t="e">
        <f>VLOOKUP(B93,'Surety Calculations Form'!B101:H246,4,FALSE)</f>
        <v>#N/A</v>
      </c>
      <c r="H93" s="101" t="e">
        <f>VLOOKUP(B93,'Surety Calculations Form'!B101:H246,5,FALSE)</f>
        <v>#N/A</v>
      </c>
    </row>
    <row r="94" spans="1:8" s="102" customFormat="1" ht="19.899999999999999" customHeight="1" x14ac:dyDescent="0.25">
      <c r="A94" s="11"/>
      <c r="B94" s="234" t="str">
        <f>IFERROR(Calcs!$B58,"")</f>
        <v/>
      </c>
      <c r="C94" s="234"/>
      <c r="D94" s="234"/>
      <c r="E94" s="14" t="str">
        <f t="shared" si="0"/>
        <v/>
      </c>
      <c r="F94" s="14"/>
      <c r="G94" s="101" t="e">
        <f>VLOOKUP(B94,'Surety Calculations Form'!B102:H247,4,FALSE)</f>
        <v>#N/A</v>
      </c>
      <c r="H94" s="101" t="e">
        <f>VLOOKUP(B94,'Surety Calculations Form'!B102:H247,5,FALSE)</f>
        <v>#N/A</v>
      </c>
    </row>
    <row r="95" spans="1:8" s="102" customFormat="1" ht="19.899999999999999" customHeight="1" x14ac:dyDescent="0.25">
      <c r="A95" s="11"/>
      <c r="B95" s="234" t="str">
        <f>IFERROR(Calcs!$B59,"")</f>
        <v/>
      </c>
      <c r="C95" s="234"/>
      <c r="D95" s="234"/>
      <c r="E95" s="14" t="str">
        <f t="shared" si="0"/>
        <v/>
      </c>
      <c r="F95" s="14"/>
      <c r="G95" s="101" t="e">
        <f>VLOOKUP(B95,'Surety Calculations Form'!B103:H248,4,FALSE)</f>
        <v>#N/A</v>
      </c>
      <c r="H95" s="101" t="e">
        <f>VLOOKUP(B95,'Surety Calculations Form'!B103:H248,5,FALSE)</f>
        <v>#N/A</v>
      </c>
    </row>
    <row r="96" spans="1:8" s="102" customFormat="1" ht="19.899999999999999" customHeight="1" x14ac:dyDescent="0.25">
      <c r="A96" s="11"/>
      <c r="B96" s="234" t="str">
        <f>IFERROR(Calcs!$B60,"")</f>
        <v/>
      </c>
      <c r="C96" s="234"/>
      <c r="D96" s="234"/>
      <c r="E96" s="14" t="str">
        <f t="shared" si="0"/>
        <v/>
      </c>
      <c r="F96" s="14"/>
      <c r="G96" s="101" t="e">
        <f>VLOOKUP(B96,'Surety Calculations Form'!B104:H249,4,FALSE)</f>
        <v>#N/A</v>
      </c>
      <c r="H96" s="101" t="e">
        <f>VLOOKUP(B96,'Surety Calculations Form'!B104:H249,5,FALSE)</f>
        <v>#N/A</v>
      </c>
    </row>
    <row r="97" spans="1:8" s="102" customFormat="1" ht="19.899999999999999" customHeight="1" x14ac:dyDescent="0.25">
      <c r="A97" s="11"/>
      <c r="B97" s="234" t="str">
        <f>IFERROR(Calcs!$B61,"")</f>
        <v/>
      </c>
      <c r="C97" s="234"/>
      <c r="D97" s="234"/>
      <c r="E97" s="14" t="str">
        <f t="shared" si="0"/>
        <v/>
      </c>
      <c r="F97" s="14"/>
      <c r="G97" s="101" t="e">
        <f>VLOOKUP(B97,'Surety Calculations Form'!B105:H250,4,FALSE)</f>
        <v>#N/A</v>
      </c>
      <c r="H97" s="101" t="e">
        <f>VLOOKUP(B97,'Surety Calculations Form'!B105:H250,5,FALSE)</f>
        <v>#N/A</v>
      </c>
    </row>
    <row r="98" spans="1:8" s="102" customFormat="1" ht="19.899999999999999" customHeight="1" x14ac:dyDescent="0.25">
      <c r="A98" s="11"/>
      <c r="B98" s="234" t="str">
        <f>IFERROR(Calcs!$B62,"")</f>
        <v/>
      </c>
      <c r="C98" s="234"/>
      <c r="D98" s="234"/>
      <c r="E98" s="14" t="str">
        <f t="shared" si="0"/>
        <v/>
      </c>
      <c r="F98" s="14"/>
      <c r="G98" s="101" t="e">
        <f>VLOOKUP(B98,'Surety Calculations Form'!B106:H251,4,FALSE)</f>
        <v>#N/A</v>
      </c>
      <c r="H98" s="101" t="e">
        <f>VLOOKUP(B98,'Surety Calculations Form'!B106:H251,5,FALSE)</f>
        <v>#N/A</v>
      </c>
    </row>
    <row r="99" spans="1:8" s="102" customFormat="1" ht="19.899999999999999" customHeight="1" x14ac:dyDescent="0.25">
      <c r="A99" s="11"/>
      <c r="B99" s="234" t="str">
        <f>IFERROR(Calcs!$B63,"")</f>
        <v/>
      </c>
      <c r="C99" s="234"/>
      <c r="D99" s="234"/>
      <c r="E99" s="14" t="str">
        <f t="shared" si="0"/>
        <v/>
      </c>
      <c r="F99" s="14"/>
      <c r="G99" s="101" t="e">
        <f>VLOOKUP(B99,'Surety Calculations Form'!B107:H252,4,FALSE)</f>
        <v>#N/A</v>
      </c>
      <c r="H99" s="101" t="e">
        <f>VLOOKUP(B99,'Surety Calculations Form'!B107:H252,5,FALSE)</f>
        <v>#N/A</v>
      </c>
    </row>
    <row r="100" spans="1:8" s="102" customFormat="1" ht="19.899999999999999" customHeight="1" x14ac:dyDescent="0.25">
      <c r="A100" s="11"/>
      <c r="B100" s="234" t="str">
        <f>IFERROR(Calcs!$B64,"")</f>
        <v/>
      </c>
      <c r="C100" s="234"/>
      <c r="D100" s="234"/>
      <c r="E100" s="14" t="str">
        <f t="shared" si="0"/>
        <v/>
      </c>
      <c r="F100" s="14"/>
      <c r="G100" s="101" t="e">
        <f>VLOOKUP(B100,'Surety Calculations Form'!B108:H253,4,FALSE)</f>
        <v>#N/A</v>
      </c>
      <c r="H100" s="101" t="e">
        <f>VLOOKUP(B100,'Surety Calculations Form'!B108:H253,5,FALSE)</f>
        <v>#N/A</v>
      </c>
    </row>
    <row r="101" spans="1:8" s="102" customFormat="1" ht="19.899999999999999" customHeight="1" x14ac:dyDescent="0.25">
      <c r="A101" s="11"/>
      <c r="B101" s="234" t="str">
        <f>IFERROR(Calcs!$B65,"")</f>
        <v/>
      </c>
      <c r="C101" s="234"/>
      <c r="D101" s="234"/>
      <c r="E101" s="14" t="str">
        <f t="shared" si="0"/>
        <v/>
      </c>
      <c r="F101" s="14"/>
      <c r="G101" s="101" t="e">
        <f>VLOOKUP(B101,'Surety Calculations Form'!B109:H254,4,FALSE)</f>
        <v>#N/A</v>
      </c>
      <c r="H101" s="101" t="e">
        <f>VLOOKUP(B101,'Surety Calculations Form'!B109:H254,5,FALSE)</f>
        <v>#N/A</v>
      </c>
    </row>
    <row r="102" spans="1:8" s="102" customFormat="1" ht="19.899999999999999" customHeight="1" x14ac:dyDescent="0.25">
      <c r="A102" s="11"/>
      <c r="B102" s="234" t="str">
        <f>IFERROR(Calcs!$B66,"")</f>
        <v/>
      </c>
      <c r="C102" s="234"/>
      <c r="D102" s="234"/>
      <c r="E102" s="14" t="str">
        <f t="shared" si="0"/>
        <v/>
      </c>
      <c r="F102" s="14"/>
      <c r="G102" s="101" t="e">
        <f>VLOOKUP(B102,'Surety Calculations Form'!B110:H255,4,FALSE)</f>
        <v>#N/A</v>
      </c>
      <c r="H102" s="101" t="e">
        <f>VLOOKUP(B102,'Surety Calculations Form'!B110:H255,5,FALSE)</f>
        <v>#N/A</v>
      </c>
    </row>
    <row r="103" spans="1:8" s="102" customFormat="1" ht="19.899999999999999" customHeight="1" x14ac:dyDescent="0.25">
      <c r="A103" s="11"/>
      <c r="B103" s="234" t="str">
        <f>IFERROR(Calcs!$B67,"")</f>
        <v/>
      </c>
      <c r="C103" s="234"/>
      <c r="D103" s="234"/>
      <c r="E103" s="14" t="str">
        <f t="shared" si="0"/>
        <v/>
      </c>
      <c r="F103" s="14"/>
      <c r="G103" s="101" t="e">
        <f>VLOOKUP(B103,'Surety Calculations Form'!B111:H256,4,FALSE)</f>
        <v>#N/A</v>
      </c>
      <c r="H103" s="101" t="e">
        <f>VLOOKUP(B103,'Surety Calculations Form'!B111:H256,5,FALSE)</f>
        <v>#N/A</v>
      </c>
    </row>
    <row r="104" spans="1:8" s="102" customFormat="1" ht="19.899999999999999" customHeight="1" x14ac:dyDescent="0.25">
      <c r="A104" s="11"/>
      <c r="B104" s="234" t="str">
        <f>IFERROR(Calcs!$B68,"")</f>
        <v/>
      </c>
      <c r="C104" s="234"/>
      <c r="D104" s="234"/>
      <c r="E104" s="14" t="str">
        <f t="shared" si="0"/>
        <v/>
      </c>
      <c r="F104" s="14"/>
      <c r="G104" s="101" t="e">
        <f>VLOOKUP(B104,'Surety Calculations Form'!B112:H257,4,FALSE)</f>
        <v>#N/A</v>
      </c>
      <c r="H104" s="101" t="e">
        <f>VLOOKUP(B104,'Surety Calculations Form'!B112:H257,5,FALSE)</f>
        <v>#N/A</v>
      </c>
    </row>
    <row r="105" spans="1:8" s="102" customFormat="1" ht="19.899999999999999" customHeight="1" x14ac:dyDescent="0.25">
      <c r="A105" s="11"/>
      <c r="B105" s="234" t="str">
        <f>IFERROR(Calcs!$B69,"")</f>
        <v/>
      </c>
      <c r="C105" s="234"/>
      <c r="D105" s="234"/>
      <c r="E105" s="14" t="str">
        <f t="shared" ref="E105:E168" si="1">IFERROR(IF(G105&gt;0,CONCATENATE(G105," ",H105),""),"")</f>
        <v/>
      </c>
      <c r="F105" s="14"/>
      <c r="G105" s="101" t="e">
        <f>VLOOKUP(B105,'Surety Calculations Form'!B113:H258,4,FALSE)</f>
        <v>#N/A</v>
      </c>
      <c r="H105" s="101" t="e">
        <f>VLOOKUP(B105,'Surety Calculations Form'!B113:H258,5,FALSE)</f>
        <v>#N/A</v>
      </c>
    </row>
    <row r="106" spans="1:8" s="102" customFormat="1" ht="19.899999999999999" customHeight="1" x14ac:dyDescent="0.25">
      <c r="A106" s="11"/>
      <c r="B106" s="234" t="str">
        <f>IFERROR(Calcs!$B70,"")</f>
        <v/>
      </c>
      <c r="C106" s="234"/>
      <c r="D106" s="234"/>
      <c r="E106" s="14" t="str">
        <f t="shared" si="1"/>
        <v/>
      </c>
      <c r="F106" s="14"/>
      <c r="G106" s="101" t="e">
        <f>VLOOKUP(B106,'Surety Calculations Form'!B114:H259,4,FALSE)</f>
        <v>#N/A</v>
      </c>
      <c r="H106" s="101" t="e">
        <f>VLOOKUP(B106,'Surety Calculations Form'!B114:H259,5,FALSE)</f>
        <v>#N/A</v>
      </c>
    </row>
    <row r="107" spans="1:8" s="102" customFormat="1" ht="19.899999999999999" customHeight="1" x14ac:dyDescent="0.25">
      <c r="A107" s="11"/>
      <c r="B107" s="234" t="str">
        <f>IFERROR(Calcs!$B71,"")</f>
        <v/>
      </c>
      <c r="C107" s="234"/>
      <c r="D107" s="234"/>
      <c r="E107" s="14" t="str">
        <f t="shared" si="1"/>
        <v/>
      </c>
      <c r="F107" s="14"/>
      <c r="G107" s="101" t="e">
        <f>VLOOKUP(B107,'Surety Calculations Form'!B115:H260,4,FALSE)</f>
        <v>#N/A</v>
      </c>
      <c r="H107" s="101" t="e">
        <f>VLOOKUP(B107,'Surety Calculations Form'!B115:H260,5,FALSE)</f>
        <v>#N/A</v>
      </c>
    </row>
    <row r="108" spans="1:8" s="102" customFormat="1" ht="19.899999999999999" customHeight="1" x14ac:dyDescent="0.25">
      <c r="A108" s="11"/>
      <c r="B108" s="234" t="str">
        <f>IFERROR(Calcs!$B72,"")</f>
        <v/>
      </c>
      <c r="C108" s="234"/>
      <c r="D108" s="234"/>
      <c r="E108" s="14" t="str">
        <f t="shared" si="1"/>
        <v/>
      </c>
      <c r="F108" s="14"/>
      <c r="G108" s="101" t="e">
        <f>VLOOKUP(B108,'Surety Calculations Form'!B115:H261,4,FALSE)</f>
        <v>#N/A</v>
      </c>
      <c r="H108" s="101" t="e">
        <f>VLOOKUP(B108,'Surety Calculations Form'!B115:H261,5,FALSE)</f>
        <v>#N/A</v>
      </c>
    </row>
    <row r="109" spans="1:8" s="102" customFormat="1" ht="19.899999999999999" customHeight="1" x14ac:dyDescent="0.25">
      <c r="A109" s="11"/>
      <c r="B109" s="234" t="str">
        <f>IFERROR(Calcs!$B73,"")</f>
        <v/>
      </c>
      <c r="C109" s="234"/>
      <c r="D109" s="234"/>
      <c r="E109" s="14" t="str">
        <f t="shared" si="1"/>
        <v/>
      </c>
      <c r="F109" s="14"/>
      <c r="G109" s="101" t="e">
        <f>VLOOKUP(B109,'Surety Calculations Form'!B116:H262,4,FALSE)</f>
        <v>#N/A</v>
      </c>
      <c r="H109" s="101" t="e">
        <f>VLOOKUP(B109,'Surety Calculations Form'!B116:H262,5,FALSE)</f>
        <v>#N/A</v>
      </c>
    </row>
    <row r="110" spans="1:8" s="102" customFormat="1" ht="19.899999999999999" customHeight="1" x14ac:dyDescent="0.25">
      <c r="A110" s="11"/>
      <c r="B110" s="234" t="str">
        <f>IFERROR(Calcs!$B74,"")</f>
        <v/>
      </c>
      <c r="C110" s="234"/>
      <c r="D110" s="234"/>
      <c r="E110" s="14" t="str">
        <f t="shared" si="1"/>
        <v/>
      </c>
      <c r="F110" s="14"/>
      <c r="G110" s="101" t="e">
        <f>VLOOKUP(B110,'Surety Calculations Form'!B117:H263,4,FALSE)</f>
        <v>#N/A</v>
      </c>
      <c r="H110" s="101" t="e">
        <f>VLOOKUP(B110,'Surety Calculations Form'!B117:H263,5,FALSE)</f>
        <v>#N/A</v>
      </c>
    </row>
    <row r="111" spans="1:8" s="102" customFormat="1" ht="19.899999999999999" customHeight="1" x14ac:dyDescent="0.25">
      <c r="A111" s="11"/>
      <c r="B111" s="234" t="str">
        <f>IFERROR(Calcs!$B75,"")</f>
        <v/>
      </c>
      <c r="C111" s="234"/>
      <c r="D111" s="234"/>
      <c r="E111" s="14" t="str">
        <f t="shared" si="1"/>
        <v/>
      </c>
      <c r="F111" s="14"/>
      <c r="G111" s="101" t="e">
        <f>VLOOKUP(B111,'Surety Calculations Form'!B118:H264,4,FALSE)</f>
        <v>#N/A</v>
      </c>
      <c r="H111" s="101" t="e">
        <f>VLOOKUP(B111,'Surety Calculations Form'!B118:H264,5,FALSE)</f>
        <v>#N/A</v>
      </c>
    </row>
    <row r="112" spans="1:8" s="102" customFormat="1" ht="19.899999999999999" customHeight="1" x14ac:dyDescent="0.25">
      <c r="A112" s="11"/>
      <c r="B112" s="234" t="str">
        <f>IFERROR(Calcs!$B76,"")</f>
        <v/>
      </c>
      <c r="C112" s="234"/>
      <c r="D112" s="234"/>
      <c r="E112" s="14" t="str">
        <f t="shared" si="1"/>
        <v/>
      </c>
      <c r="F112" s="14"/>
      <c r="G112" s="101" t="e">
        <f>VLOOKUP(B112,'Surety Calculations Form'!B119:H265,4,FALSE)</f>
        <v>#N/A</v>
      </c>
      <c r="H112" s="101" t="e">
        <f>VLOOKUP(B112,'Surety Calculations Form'!B119:H265,5,FALSE)</f>
        <v>#N/A</v>
      </c>
    </row>
    <row r="113" spans="1:8" s="102" customFormat="1" ht="19.899999999999999" customHeight="1" x14ac:dyDescent="0.25">
      <c r="A113" s="11"/>
      <c r="B113" s="234" t="str">
        <f>IFERROR(Calcs!$B77,"")</f>
        <v/>
      </c>
      <c r="C113" s="234"/>
      <c r="D113" s="234"/>
      <c r="E113" s="14" t="str">
        <f t="shared" si="1"/>
        <v/>
      </c>
      <c r="F113" s="14"/>
      <c r="G113" s="101" t="e">
        <f>VLOOKUP(B113,'Surety Calculations Form'!B120:H266,4,FALSE)</f>
        <v>#N/A</v>
      </c>
      <c r="H113" s="101" t="e">
        <f>VLOOKUP(B113,'Surety Calculations Form'!B120:H266,5,FALSE)</f>
        <v>#N/A</v>
      </c>
    </row>
    <row r="114" spans="1:8" s="102" customFormat="1" ht="19.899999999999999" customHeight="1" x14ac:dyDescent="0.25">
      <c r="A114" s="11"/>
      <c r="B114" s="234" t="str">
        <f>IFERROR(Calcs!$B78,"")</f>
        <v/>
      </c>
      <c r="C114" s="234"/>
      <c r="D114" s="234"/>
      <c r="E114" s="14" t="str">
        <f t="shared" si="1"/>
        <v/>
      </c>
      <c r="F114" s="14"/>
      <c r="G114" s="101" t="e">
        <f>VLOOKUP(B114,'Surety Calculations Form'!B121:H267,4,FALSE)</f>
        <v>#N/A</v>
      </c>
      <c r="H114" s="101" t="e">
        <f>VLOOKUP(B114,'Surety Calculations Form'!B121:H267,5,FALSE)</f>
        <v>#N/A</v>
      </c>
    </row>
    <row r="115" spans="1:8" s="102" customFormat="1" ht="19.899999999999999" customHeight="1" x14ac:dyDescent="0.25">
      <c r="A115" s="11"/>
      <c r="B115" s="234" t="str">
        <f>IFERROR(Calcs!$B79,"")</f>
        <v/>
      </c>
      <c r="C115" s="234"/>
      <c r="D115" s="234"/>
      <c r="E115" s="14" t="str">
        <f t="shared" si="1"/>
        <v/>
      </c>
      <c r="F115" s="14"/>
      <c r="G115" s="101" t="e">
        <f>VLOOKUP(B115,'Surety Calculations Form'!B122:H268,4,FALSE)</f>
        <v>#N/A</v>
      </c>
      <c r="H115" s="101" t="e">
        <f>VLOOKUP(B115,'Surety Calculations Form'!B122:H268,5,FALSE)</f>
        <v>#N/A</v>
      </c>
    </row>
    <row r="116" spans="1:8" s="102" customFormat="1" ht="19.899999999999999" customHeight="1" x14ac:dyDescent="0.25">
      <c r="A116" s="11"/>
      <c r="B116" s="234" t="str">
        <f>IFERROR(Calcs!$B80,"")</f>
        <v/>
      </c>
      <c r="C116" s="234"/>
      <c r="D116" s="234"/>
      <c r="E116" s="14" t="str">
        <f t="shared" si="1"/>
        <v/>
      </c>
      <c r="F116" s="14"/>
      <c r="G116" s="101" t="e">
        <f>VLOOKUP(B116,'Surety Calculations Form'!B123:H269,4,FALSE)</f>
        <v>#N/A</v>
      </c>
      <c r="H116" s="101" t="e">
        <f>VLOOKUP(B116,'Surety Calculations Form'!B123:H269,5,FALSE)</f>
        <v>#N/A</v>
      </c>
    </row>
    <row r="117" spans="1:8" s="102" customFormat="1" ht="19.899999999999999" customHeight="1" x14ac:dyDescent="0.25">
      <c r="A117" s="11"/>
      <c r="B117" s="234" t="str">
        <f>IFERROR(Calcs!$B81,"")</f>
        <v/>
      </c>
      <c r="C117" s="234"/>
      <c r="D117" s="234"/>
      <c r="E117" s="14" t="str">
        <f t="shared" si="1"/>
        <v/>
      </c>
      <c r="F117" s="14"/>
      <c r="G117" s="101" t="e">
        <f>VLOOKUP(B117,'Surety Calculations Form'!B124:H270,4,FALSE)</f>
        <v>#N/A</v>
      </c>
      <c r="H117" s="101" t="e">
        <f>VLOOKUP(B117,'Surety Calculations Form'!B124:H270,5,FALSE)</f>
        <v>#N/A</v>
      </c>
    </row>
    <row r="118" spans="1:8" s="102" customFormat="1" ht="19.899999999999999" customHeight="1" x14ac:dyDescent="0.25">
      <c r="A118" s="11"/>
      <c r="B118" s="234" t="str">
        <f>IFERROR(Calcs!$B82,"")</f>
        <v/>
      </c>
      <c r="C118" s="234"/>
      <c r="D118" s="234"/>
      <c r="E118" s="14" t="str">
        <f t="shared" si="1"/>
        <v/>
      </c>
      <c r="F118" s="14"/>
      <c r="G118" s="101" t="e">
        <f>VLOOKUP(B118,'Surety Calculations Form'!B125:H271,4,FALSE)</f>
        <v>#N/A</v>
      </c>
      <c r="H118" s="101" t="e">
        <f>VLOOKUP(B118,'Surety Calculations Form'!B125:H271,5,FALSE)</f>
        <v>#N/A</v>
      </c>
    </row>
    <row r="119" spans="1:8" s="102" customFormat="1" ht="19.899999999999999" customHeight="1" x14ac:dyDescent="0.25">
      <c r="A119" s="11"/>
      <c r="B119" s="234" t="str">
        <f>IFERROR(Calcs!$B83,"")</f>
        <v/>
      </c>
      <c r="C119" s="234"/>
      <c r="D119" s="234"/>
      <c r="E119" s="14" t="str">
        <f t="shared" si="1"/>
        <v/>
      </c>
      <c r="F119" s="14"/>
      <c r="G119" s="101" t="e">
        <f>VLOOKUP(B119,'Surety Calculations Form'!B126:H272,4,FALSE)</f>
        <v>#N/A</v>
      </c>
      <c r="H119" s="101" t="e">
        <f>VLOOKUP(B119,'Surety Calculations Form'!B126:H272,5,FALSE)</f>
        <v>#N/A</v>
      </c>
    </row>
    <row r="120" spans="1:8" s="102" customFormat="1" ht="19.899999999999999" customHeight="1" x14ac:dyDescent="0.25">
      <c r="A120" s="11"/>
      <c r="B120" s="234" t="str">
        <f>IFERROR(Calcs!$B84,"")</f>
        <v/>
      </c>
      <c r="C120" s="234"/>
      <c r="D120" s="234"/>
      <c r="E120" s="14" t="str">
        <f t="shared" si="1"/>
        <v/>
      </c>
      <c r="F120" s="14"/>
      <c r="G120" s="101" t="e">
        <f>VLOOKUP(B120,'Surety Calculations Form'!B127:H273,4,FALSE)</f>
        <v>#N/A</v>
      </c>
      <c r="H120" s="101" t="e">
        <f>VLOOKUP(B120,'Surety Calculations Form'!B127:H273,5,FALSE)</f>
        <v>#N/A</v>
      </c>
    </row>
    <row r="121" spans="1:8" s="102" customFormat="1" ht="19.899999999999999" customHeight="1" x14ac:dyDescent="0.25">
      <c r="A121" s="11"/>
      <c r="B121" s="234" t="str">
        <f>IFERROR(Calcs!$B85,"")</f>
        <v/>
      </c>
      <c r="C121" s="234"/>
      <c r="D121" s="234"/>
      <c r="E121" s="14" t="str">
        <f t="shared" si="1"/>
        <v/>
      </c>
      <c r="F121" s="14"/>
      <c r="G121" s="101" t="e">
        <f>VLOOKUP(B121,'Surety Calculations Form'!B128:H274,4,FALSE)</f>
        <v>#N/A</v>
      </c>
      <c r="H121" s="101" t="e">
        <f>VLOOKUP(B121,'Surety Calculations Form'!B128:H274,5,FALSE)</f>
        <v>#N/A</v>
      </c>
    </row>
    <row r="122" spans="1:8" s="102" customFormat="1" ht="19.899999999999999" customHeight="1" x14ac:dyDescent="0.25">
      <c r="A122" s="11"/>
      <c r="B122" s="234" t="str">
        <f>IFERROR(Calcs!$B86,"")</f>
        <v/>
      </c>
      <c r="C122" s="234"/>
      <c r="D122" s="234"/>
      <c r="E122" s="14" t="str">
        <f t="shared" si="1"/>
        <v/>
      </c>
      <c r="F122" s="14"/>
      <c r="G122" s="101" t="e">
        <f>VLOOKUP(B122,'Surety Calculations Form'!B129:H275,4,FALSE)</f>
        <v>#N/A</v>
      </c>
      <c r="H122" s="101" t="e">
        <f>VLOOKUP(B122,'Surety Calculations Form'!B129:H275,5,FALSE)</f>
        <v>#N/A</v>
      </c>
    </row>
    <row r="123" spans="1:8" s="102" customFormat="1" ht="19.899999999999999" customHeight="1" x14ac:dyDescent="0.25">
      <c r="A123" s="11"/>
      <c r="B123" s="234" t="str">
        <f>IFERROR(Calcs!$B87,"")</f>
        <v/>
      </c>
      <c r="C123" s="234"/>
      <c r="D123" s="234"/>
      <c r="E123" s="14" t="str">
        <f t="shared" si="1"/>
        <v/>
      </c>
      <c r="F123" s="14"/>
      <c r="G123" s="101" t="e">
        <f>VLOOKUP(B123,'Surety Calculations Form'!B130:H276,4,FALSE)</f>
        <v>#N/A</v>
      </c>
      <c r="H123" s="101" t="e">
        <f>VLOOKUP(B123,'Surety Calculations Form'!B130:H276,5,FALSE)</f>
        <v>#N/A</v>
      </c>
    </row>
    <row r="124" spans="1:8" s="102" customFormat="1" ht="19.899999999999999" customHeight="1" x14ac:dyDescent="0.25">
      <c r="A124" s="11"/>
      <c r="B124" s="234" t="str">
        <f>IFERROR(Calcs!$B88,"")</f>
        <v/>
      </c>
      <c r="C124" s="234"/>
      <c r="D124" s="234"/>
      <c r="E124" s="14" t="str">
        <f t="shared" si="1"/>
        <v/>
      </c>
      <c r="F124" s="14"/>
      <c r="G124" s="101" t="e">
        <f>VLOOKUP(B124,'Surety Calculations Form'!B131:H277,4,FALSE)</f>
        <v>#N/A</v>
      </c>
      <c r="H124" s="101" t="e">
        <f>VLOOKUP(B124,'Surety Calculations Form'!B131:H277,5,FALSE)</f>
        <v>#N/A</v>
      </c>
    </row>
    <row r="125" spans="1:8" s="102" customFormat="1" ht="19.899999999999999" customHeight="1" x14ac:dyDescent="0.25">
      <c r="A125" s="11"/>
      <c r="B125" s="234" t="str">
        <f>IFERROR(Calcs!$B89,"")</f>
        <v/>
      </c>
      <c r="C125" s="234"/>
      <c r="D125" s="234"/>
      <c r="E125" s="14" t="str">
        <f t="shared" si="1"/>
        <v/>
      </c>
      <c r="F125" s="14"/>
      <c r="G125" s="101" t="e">
        <f>VLOOKUP(B125,'Surety Calculations Form'!B132:H278,4,FALSE)</f>
        <v>#N/A</v>
      </c>
      <c r="H125" s="101" t="e">
        <f>VLOOKUP(B125,'Surety Calculations Form'!B132:H278,5,FALSE)</f>
        <v>#N/A</v>
      </c>
    </row>
    <row r="126" spans="1:8" s="102" customFormat="1" ht="19.899999999999999" customHeight="1" x14ac:dyDescent="0.25">
      <c r="A126" s="11"/>
      <c r="B126" s="234" t="str">
        <f>IFERROR(Calcs!$B90,"")</f>
        <v/>
      </c>
      <c r="C126" s="234"/>
      <c r="D126" s="234"/>
      <c r="E126" s="14" t="str">
        <f t="shared" si="1"/>
        <v/>
      </c>
      <c r="F126" s="14"/>
      <c r="G126" s="101" t="e">
        <f>VLOOKUP(B126,'Surety Calculations Form'!B133:H279,4,FALSE)</f>
        <v>#N/A</v>
      </c>
      <c r="H126" s="101" t="e">
        <f>VLOOKUP(B126,'Surety Calculations Form'!B133:H279,5,FALSE)</f>
        <v>#N/A</v>
      </c>
    </row>
    <row r="127" spans="1:8" s="102" customFormat="1" ht="19.899999999999999" customHeight="1" x14ac:dyDescent="0.25">
      <c r="A127" s="11"/>
      <c r="B127" s="234" t="str">
        <f>IFERROR(Calcs!$B91,"")</f>
        <v/>
      </c>
      <c r="C127" s="234"/>
      <c r="D127" s="234"/>
      <c r="E127" s="14" t="str">
        <f t="shared" si="1"/>
        <v/>
      </c>
      <c r="F127" s="14"/>
      <c r="G127" s="101" t="e">
        <f>VLOOKUP(B127,'Surety Calculations Form'!B134:H280,4,FALSE)</f>
        <v>#N/A</v>
      </c>
      <c r="H127" s="101" t="e">
        <f>VLOOKUP(B127,'Surety Calculations Form'!B134:H280,5,FALSE)</f>
        <v>#N/A</v>
      </c>
    </row>
    <row r="128" spans="1:8" s="102" customFormat="1" ht="19.899999999999999" customHeight="1" x14ac:dyDescent="0.25">
      <c r="A128" s="11"/>
      <c r="B128" s="234" t="str">
        <f>IFERROR(Calcs!$B92,"")</f>
        <v/>
      </c>
      <c r="C128" s="234"/>
      <c r="D128" s="234"/>
      <c r="E128" s="14" t="str">
        <f t="shared" si="1"/>
        <v/>
      </c>
      <c r="F128" s="14"/>
      <c r="G128" s="101" t="e">
        <f>VLOOKUP(B128,'Surety Calculations Form'!B135:H281,4,FALSE)</f>
        <v>#N/A</v>
      </c>
      <c r="H128" s="101" t="e">
        <f>VLOOKUP(B128,'Surety Calculations Form'!B135:H281,5,FALSE)</f>
        <v>#N/A</v>
      </c>
    </row>
    <row r="129" spans="1:8" s="102" customFormat="1" ht="19.899999999999999" customHeight="1" x14ac:dyDescent="0.25">
      <c r="A129" s="11"/>
      <c r="B129" s="234" t="str">
        <f>IFERROR(Calcs!$B93,"")</f>
        <v/>
      </c>
      <c r="C129" s="234"/>
      <c r="D129" s="234"/>
      <c r="E129" s="14" t="str">
        <f t="shared" si="1"/>
        <v/>
      </c>
      <c r="F129" s="14"/>
      <c r="G129" s="101" t="e">
        <f>VLOOKUP(B129,'Surety Calculations Form'!B136:H282,4,FALSE)</f>
        <v>#N/A</v>
      </c>
      <c r="H129" s="101" t="e">
        <f>VLOOKUP(B129,'Surety Calculations Form'!B136:H282,5,FALSE)</f>
        <v>#N/A</v>
      </c>
    </row>
    <row r="130" spans="1:8" s="102" customFormat="1" ht="19.899999999999999" customHeight="1" x14ac:dyDescent="0.25">
      <c r="A130" s="11"/>
      <c r="B130" s="234" t="str">
        <f>IFERROR(Calcs!$B94,"")</f>
        <v/>
      </c>
      <c r="C130" s="234"/>
      <c r="D130" s="234"/>
      <c r="E130" s="14" t="str">
        <f t="shared" si="1"/>
        <v/>
      </c>
      <c r="F130" s="14"/>
      <c r="G130" s="101" t="e">
        <f>VLOOKUP(B130,'Surety Calculations Form'!B137:H283,4,FALSE)</f>
        <v>#N/A</v>
      </c>
      <c r="H130" s="101" t="e">
        <f>VLOOKUP(B130,'Surety Calculations Form'!B137:H283,5,FALSE)</f>
        <v>#N/A</v>
      </c>
    </row>
    <row r="131" spans="1:8" s="102" customFormat="1" ht="19.899999999999999" customHeight="1" x14ac:dyDescent="0.25">
      <c r="A131" s="11"/>
      <c r="B131" s="234" t="str">
        <f>IFERROR(Calcs!$B95,"")</f>
        <v/>
      </c>
      <c r="C131" s="234"/>
      <c r="D131" s="234"/>
      <c r="E131" s="14" t="str">
        <f t="shared" si="1"/>
        <v/>
      </c>
      <c r="F131" s="14"/>
      <c r="G131" s="101" t="e">
        <f>VLOOKUP(B131,'Surety Calculations Form'!B138:H284,4,FALSE)</f>
        <v>#N/A</v>
      </c>
      <c r="H131" s="101" t="e">
        <f>VLOOKUP(B131,'Surety Calculations Form'!B138:H284,5,FALSE)</f>
        <v>#N/A</v>
      </c>
    </row>
    <row r="132" spans="1:8" s="102" customFormat="1" ht="19.899999999999999" customHeight="1" x14ac:dyDescent="0.25">
      <c r="A132" s="11"/>
      <c r="B132" s="234" t="str">
        <f>IFERROR(Calcs!$B96,"")</f>
        <v/>
      </c>
      <c r="C132" s="234"/>
      <c r="D132" s="234"/>
      <c r="E132" s="14" t="str">
        <f t="shared" si="1"/>
        <v/>
      </c>
      <c r="F132" s="14"/>
      <c r="G132" s="101" t="e">
        <f>VLOOKUP(B132,'Surety Calculations Form'!B139:H285,4,FALSE)</f>
        <v>#N/A</v>
      </c>
      <c r="H132" s="101" t="e">
        <f>VLOOKUP(B132,'Surety Calculations Form'!B139:H285,5,FALSE)</f>
        <v>#N/A</v>
      </c>
    </row>
    <row r="133" spans="1:8" s="102" customFormat="1" ht="19.899999999999999" customHeight="1" x14ac:dyDescent="0.25">
      <c r="A133" s="11"/>
      <c r="B133" s="234" t="str">
        <f>IFERROR(Calcs!$B97,"")</f>
        <v/>
      </c>
      <c r="C133" s="234"/>
      <c r="D133" s="234"/>
      <c r="E133" s="14" t="str">
        <f t="shared" si="1"/>
        <v/>
      </c>
      <c r="F133" s="14"/>
      <c r="G133" s="101" t="e">
        <f>VLOOKUP(B133,'Surety Calculations Form'!B140:H286,4,FALSE)</f>
        <v>#N/A</v>
      </c>
      <c r="H133" s="101" t="e">
        <f>VLOOKUP(B133,'Surety Calculations Form'!B140:H286,5,FALSE)</f>
        <v>#N/A</v>
      </c>
    </row>
    <row r="134" spans="1:8" s="102" customFormat="1" ht="19.899999999999999" customHeight="1" x14ac:dyDescent="0.25">
      <c r="A134" s="11"/>
      <c r="B134" s="234" t="str">
        <f>IFERROR(Calcs!$B98,"")</f>
        <v/>
      </c>
      <c r="C134" s="234"/>
      <c r="D134" s="234"/>
      <c r="E134" s="14" t="str">
        <f t="shared" si="1"/>
        <v/>
      </c>
      <c r="F134" s="14"/>
      <c r="G134" s="101" t="e">
        <f>VLOOKUP(B134,'Surety Calculations Form'!B141:H287,4,FALSE)</f>
        <v>#N/A</v>
      </c>
      <c r="H134" s="101" t="e">
        <f>VLOOKUP(B134,'Surety Calculations Form'!B141:H287,5,FALSE)</f>
        <v>#N/A</v>
      </c>
    </row>
    <row r="135" spans="1:8" s="102" customFormat="1" ht="19.899999999999999" customHeight="1" x14ac:dyDescent="0.25">
      <c r="A135" s="11"/>
      <c r="B135" s="234" t="str">
        <f>IFERROR(Calcs!$B99,"")</f>
        <v/>
      </c>
      <c r="C135" s="234"/>
      <c r="D135" s="234"/>
      <c r="E135" s="14" t="str">
        <f t="shared" si="1"/>
        <v/>
      </c>
      <c r="F135" s="14"/>
      <c r="G135" s="101" t="e">
        <f>VLOOKUP(B135,'Surety Calculations Form'!B142:H288,4,FALSE)</f>
        <v>#N/A</v>
      </c>
      <c r="H135" s="101" t="e">
        <f>VLOOKUP(B135,'Surety Calculations Form'!B142:H288,5,FALSE)</f>
        <v>#N/A</v>
      </c>
    </row>
    <row r="136" spans="1:8" s="102" customFormat="1" ht="19.899999999999999" customHeight="1" x14ac:dyDescent="0.25">
      <c r="A136" s="11"/>
      <c r="B136" s="234" t="str">
        <f>IFERROR(Calcs!$B100,"")</f>
        <v/>
      </c>
      <c r="C136" s="234"/>
      <c r="D136" s="234"/>
      <c r="E136" s="14" t="str">
        <f t="shared" si="1"/>
        <v/>
      </c>
      <c r="F136" s="14"/>
      <c r="G136" s="101" t="e">
        <f>VLOOKUP(B136,'Surety Calculations Form'!B143:H289,4,FALSE)</f>
        <v>#N/A</v>
      </c>
      <c r="H136" s="101" t="e">
        <f>VLOOKUP(B136,'Surety Calculations Form'!B143:H289,5,FALSE)</f>
        <v>#N/A</v>
      </c>
    </row>
    <row r="137" spans="1:8" s="102" customFormat="1" ht="19.899999999999999" customHeight="1" x14ac:dyDescent="0.25">
      <c r="A137" s="11"/>
      <c r="B137" s="234" t="str">
        <f>IFERROR(Calcs!$B101,"")</f>
        <v/>
      </c>
      <c r="C137" s="234"/>
      <c r="D137" s="234"/>
      <c r="E137" s="14" t="str">
        <f t="shared" si="1"/>
        <v/>
      </c>
      <c r="F137" s="14"/>
      <c r="G137" s="101" t="e">
        <f>VLOOKUP(B137,'Surety Calculations Form'!B144:H290,4,FALSE)</f>
        <v>#N/A</v>
      </c>
      <c r="H137" s="101" t="e">
        <f>VLOOKUP(B137,'Surety Calculations Form'!B144:H290,5,FALSE)</f>
        <v>#N/A</v>
      </c>
    </row>
    <row r="138" spans="1:8" s="102" customFormat="1" ht="19.899999999999999" customHeight="1" x14ac:dyDescent="0.25">
      <c r="A138" s="11"/>
      <c r="B138" s="234" t="str">
        <f>IFERROR(Calcs!$B102,"")</f>
        <v/>
      </c>
      <c r="C138" s="234"/>
      <c r="D138" s="234"/>
      <c r="E138" s="14" t="str">
        <f t="shared" si="1"/>
        <v/>
      </c>
      <c r="F138" s="14"/>
      <c r="G138" s="101" t="e">
        <f>VLOOKUP(B138,'Surety Calculations Form'!B145:H291,4,FALSE)</f>
        <v>#N/A</v>
      </c>
      <c r="H138" s="101" t="e">
        <f>VLOOKUP(B138,'Surety Calculations Form'!B145:H291,5,FALSE)</f>
        <v>#N/A</v>
      </c>
    </row>
    <row r="139" spans="1:8" s="102" customFormat="1" ht="19.899999999999999" customHeight="1" x14ac:dyDescent="0.25">
      <c r="A139" s="11"/>
      <c r="B139" s="234" t="str">
        <f>IFERROR(Calcs!$B103,"")</f>
        <v/>
      </c>
      <c r="C139" s="234"/>
      <c r="D139" s="234"/>
      <c r="E139" s="14" t="str">
        <f t="shared" si="1"/>
        <v/>
      </c>
      <c r="F139" s="14"/>
      <c r="G139" s="101" t="e">
        <f>VLOOKUP(B139,'Surety Calculations Form'!B146:H292,4,FALSE)</f>
        <v>#N/A</v>
      </c>
      <c r="H139" s="101" t="e">
        <f>VLOOKUP(B139,'Surety Calculations Form'!B146:H292,5,FALSE)</f>
        <v>#N/A</v>
      </c>
    </row>
    <row r="140" spans="1:8" s="102" customFormat="1" ht="19.899999999999999" customHeight="1" x14ac:dyDescent="0.25">
      <c r="A140" s="11"/>
      <c r="B140" s="234" t="str">
        <f>IFERROR(Calcs!$B104,"")</f>
        <v/>
      </c>
      <c r="C140" s="234"/>
      <c r="D140" s="234"/>
      <c r="E140" s="14" t="str">
        <f t="shared" si="1"/>
        <v/>
      </c>
      <c r="F140" s="14"/>
      <c r="G140" s="101" t="e">
        <f>VLOOKUP(B140,'Surety Calculations Form'!B147:H293,4,FALSE)</f>
        <v>#N/A</v>
      </c>
      <c r="H140" s="101" t="e">
        <f>VLOOKUP(B140,'Surety Calculations Form'!B147:H293,5,FALSE)</f>
        <v>#N/A</v>
      </c>
    </row>
    <row r="141" spans="1:8" s="102" customFormat="1" ht="19.899999999999999" customHeight="1" x14ac:dyDescent="0.25">
      <c r="A141" s="11"/>
      <c r="B141" s="234" t="str">
        <f>IFERROR(Calcs!$B105,"")</f>
        <v/>
      </c>
      <c r="C141" s="234"/>
      <c r="D141" s="234"/>
      <c r="E141" s="14" t="str">
        <f t="shared" si="1"/>
        <v/>
      </c>
      <c r="F141" s="14"/>
      <c r="G141" s="101" t="e">
        <f>VLOOKUP(B141,'Surety Calculations Form'!B148:H294,4,FALSE)</f>
        <v>#N/A</v>
      </c>
      <c r="H141" s="101" t="e">
        <f>VLOOKUP(B141,'Surety Calculations Form'!B148:H294,5,FALSE)</f>
        <v>#N/A</v>
      </c>
    </row>
    <row r="142" spans="1:8" s="96" customFormat="1" ht="19.899999999999999" customHeight="1" x14ac:dyDescent="0.25">
      <c r="A142" s="8"/>
      <c r="B142" s="234" t="str">
        <f>IFERROR(Calcs!$B106,"")</f>
        <v/>
      </c>
      <c r="C142" s="234"/>
      <c r="D142" s="234"/>
      <c r="E142" s="14" t="str">
        <f t="shared" si="1"/>
        <v/>
      </c>
      <c r="F142" s="14"/>
      <c r="G142" s="101" t="e">
        <f>VLOOKUP(B142,'Surety Calculations Form'!B149:H295,4,FALSE)</f>
        <v>#N/A</v>
      </c>
      <c r="H142" s="101" t="e">
        <f>VLOOKUP(B142,'Surety Calculations Form'!B149:H295,5,FALSE)</f>
        <v>#N/A</v>
      </c>
    </row>
    <row r="143" spans="1:8" s="96" customFormat="1" ht="19.899999999999999" customHeight="1" x14ac:dyDescent="0.25">
      <c r="A143" s="8"/>
      <c r="B143" s="234" t="str">
        <f>IFERROR(Calcs!$B107,"")</f>
        <v/>
      </c>
      <c r="C143" s="234"/>
      <c r="D143" s="234"/>
      <c r="E143" s="14" t="str">
        <f t="shared" si="1"/>
        <v/>
      </c>
      <c r="F143" s="14"/>
      <c r="G143" s="101" t="e">
        <f>VLOOKUP(B143,'Surety Calculations Form'!B150:H296,4,FALSE)</f>
        <v>#N/A</v>
      </c>
      <c r="H143" s="101" t="e">
        <f>VLOOKUP(B143,'Surety Calculations Form'!B150:H296,5,FALSE)</f>
        <v>#N/A</v>
      </c>
    </row>
    <row r="144" spans="1:8" s="96" customFormat="1" ht="19.899999999999999" customHeight="1" x14ac:dyDescent="0.25">
      <c r="A144" s="8"/>
      <c r="B144" s="234" t="str">
        <f>IFERROR(Calcs!$B108,"")</f>
        <v/>
      </c>
      <c r="C144" s="234"/>
      <c r="D144" s="234"/>
      <c r="E144" s="14" t="str">
        <f t="shared" si="1"/>
        <v/>
      </c>
      <c r="F144" s="14"/>
      <c r="G144" s="101" t="e">
        <f>VLOOKUP(B144,'Surety Calculations Form'!B151:H297,4,FALSE)</f>
        <v>#N/A</v>
      </c>
      <c r="H144" s="101" t="e">
        <f>VLOOKUP(B144,'Surety Calculations Form'!B151:H297,5,FALSE)</f>
        <v>#N/A</v>
      </c>
    </row>
    <row r="145" spans="1:8" s="96" customFormat="1" ht="19.899999999999999" customHeight="1" x14ac:dyDescent="0.25">
      <c r="A145" s="8"/>
      <c r="B145" s="234" t="str">
        <f>IFERROR(Calcs!$B109,"")</f>
        <v/>
      </c>
      <c r="C145" s="234"/>
      <c r="D145" s="234"/>
      <c r="E145" s="14" t="str">
        <f t="shared" si="1"/>
        <v/>
      </c>
      <c r="F145" s="14"/>
      <c r="G145" s="101" t="e">
        <f>VLOOKUP(B145,'Surety Calculations Form'!B152:H298,4,FALSE)</f>
        <v>#N/A</v>
      </c>
      <c r="H145" s="101" t="e">
        <f>VLOOKUP(B145,'Surety Calculations Form'!B152:H298,5,FALSE)</f>
        <v>#N/A</v>
      </c>
    </row>
    <row r="146" spans="1:8" ht="19.899999999999999" customHeight="1" x14ac:dyDescent="0.25">
      <c r="B146" s="234"/>
      <c r="C146" s="234"/>
      <c r="D146" s="234"/>
      <c r="E146" s="14" t="str">
        <f t="shared" si="1"/>
        <v/>
      </c>
      <c r="F146" s="14"/>
      <c r="G146" s="101"/>
      <c r="H146" s="101"/>
    </row>
    <row r="147" spans="1:8" ht="19.899999999999999" customHeight="1" x14ac:dyDescent="0.25">
      <c r="B147" s="15"/>
      <c r="C147" s="15"/>
      <c r="D147" s="15"/>
      <c r="E147" s="14" t="str">
        <f t="shared" si="1"/>
        <v/>
      </c>
      <c r="F147" s="15"/>
    </row>
    <row r="148" spans="1:8" ht="19.899999999999999" customHeight="1" x14ac:dyDescent="0.25">
      <c r="B148" s="15"/>
      <c r="C148" s="15"/>
      <c r="D148" s="15"/>
      <c r="E148" s="14" t="str">
        <f t="shared" si="1"/>
        <v/>
      </c>
      <c r="F148" s="15"/>
    </row>
    <row r="149" spans="1:8" ht="19.899999999999999" customHeight="1" x14ac:dyDescent="0.25">
      <c r="B149" s="15"/>
      <c r="C149" s="15"/>
      <c r="D149" s="15"/>
      <c r="E149" s="14" t="str">
        <f t="shared" si="1"/>
        <v/>
      </c>
      <c r="F149" s="15"/>
    </row>
    <row r="150" spans="1:8" ht="19.899999999999999" customHeight="1" x14ac:dyDescent="0.25">
      <c r="B150" s="15"/>
      <c r="C150" s="15"/>
      <c r="D150" s="15"/>
      <c r="E150" s="14" t="str">
        <f t="shared" si="1"/>
        <v/>
      </c>
      <c r="F150" s="15"/>
    </row>
    <row r="151" spans="1:8" ht="19.899999999999999" customHeight="1" x14ac:dyDescent="0.25">
      <c r="B151" s="15"/>
      <c r="C151" s="15"/>
      <c r="D151" s="15"/>
      <c r="E151" s="14" t="str">
        <f t="shared" si="1"/>
        <v/>
      </c>
      <c r="F151" s="15"/>
    </row>
    <row r="152" spans="1:8" ht="19.899999999999999" customHeight="1" x14ac:dyDescent="0.25">
      <c r="B152" s="15"/>
      <c r="C152" s="15"/>
      <c r="D152" s="15"/>
      <c r="E152" s="14" t="str">
        <f t="shared" si="1"/>
        <v/>
      </c>
      <c r="F152" s="15"/>
    </row>
    <row r="153" spans="1:8" ht="19.899999999999999" customHeight="1" x14ac:dyDescent="0.25">
      <c r="B153" s="15"/>
      <c r="C153" s="15"/>
      <c r="D153" s="15"/>
      <c r="E153" s="14" t="str">
        <f t="shared" si="1"/>
        <v/>
      </c>
      <c r="F153" s="15"/>
    </row>
    <row r="154" spans="1:8" ht="19.899999999999999" customHeight="1" x14ac:dyDescent="0.25">
      <c r="B154" s="15"/>
      <c r="C154" s="15"/>
      <c r="D154" s="15"/>
      <c r="E154" s="14" t="str">
        <f t="shared" si="1"/>
        <v/>
      </c>
      <c r="F154" s="15"/>
    </row>
    <row r="155" spans="1:8" ht="19.899999999999999" customHeight="1" x14ac:dyDescent="0.25">
      <c r="B155" s="15"/>
      <c r="C155" s="15"/>
      <c r="D155" s="15"/>
      <c r="E155" s="14" t="str">
        <f t="shared" si="1"/>
        <v/>
      </c>
      <c r="F155" s="15"/>
    </row>
    <row r="156" spans="1:8" ht="19.899999999999999" customHeight="1" x14ac:dyDescent="0.25">
      <c r="B156" s="15"/>
      <c r="C156" s="15"/>
      <c r="D156" s="15"/>
      <c r="E156" s="14" t="str">
        <f t="shared" si="1"/>
        <v/>
      </c>
      <c r="F156" s="15"/>
    </row>
    <row r="157" spans="1:8" ht="19.899999999999999" customHeight="1" x14ac:dyDescent="0.25">
      <c r="B157" s="15"/>
      <c r="C157" s="15"/>
      <c r="D157" s="15"/>
      <c r="E157" s="14" t="str">
        <f t="shared" si="1"/>
        <v/>
      </c>
      <c r="F157" s="15"/>
    </row>
    <row r="158" spans="1:8" ht="19.899999999999999" customHeight="1" x14ac:dyDescent="0.25">
      <c r="B158" s="15"/>
      <c r="C158" s="15"/>
      <c r="D158" s="15"/>
      <c r="E158" s="14" t="str">
        <f t="shared" si="1"/>
        <v/>
      </c>
      <c r="F158" s="15"/>
    </row>
    <row r="159" spans="1:8" ht="19.899999999999999" customHeight="1" x14ac:dyDescent="0.25">
      <c r="B159" s="15"/>
      <c r="C159" s="15"/>
      <c r="D159" s="15"/>
      <c r="E159" s="14" t="str">
        <f t="shared" si="1"/>
        <v/>
      </c>
      <c r="F159" s="15"/>
    </row>
    <row r="160" spans="1:8" ht="19.899999999999999" customHeight="1" x14ac:dyDescent="0.25">
      <c r="B160" s="15"/>
      <c r="C160" s="15"/>
      <c r="D160" s="15"/>
      <c r="E160" s="14" t="str">
        <f t="shared" si="1"/>
        <v/>
      </c>
      <c r="F160" s="15"/>
    </row>
    <row r="161" spans="2:6" ht="19.899999999999999" customHeight="1" x14ac:dyDescent="0.25">
      <c r="B161" s="15"/>
      <c r="C161" s="15"/>
      <c r="D161" s="15"/>
      <c r="E161" s="14" t="str">
        <f t="shared" si="1"/>
        <v/>
      </c>
      <c r="F161" s="15"/>
    </row>
    <row r="162" spans="2:6" ht="19.899999999999999" customHeight="1" x14ac:dyDescent="0.25">
      <c r="B162" s="15"/>
      <c r="C162" s="15"/>
      <c r="D162" s="15"/>
      <c r="E162" s="14" t="str">
        <f t="shared" si="1"/>
        <v/>
      </c>
      <c r="F162" s="15"/>
    </row>
    <row r="163" spans="2:6" ht="19.899999999999999" customHeight="1" x14ac:dyDescent="0.25">
      <c r="B163" s="15"/>
      <c r="C163" s="15"/>
      <c r="D163" s="15"/>
      <c r="E163" s="14" t="str">
        <f t="shared" si="1"/>
        <v/>
      </c>
      <c r="F163" s="15"/>
    </row>
    <row r="164" spans="2:6" ht="19.899999999999999" customHeight="1" x14ac:dyDescent="0.25">
      <c r="B164" s="15"/>
      <c r="C164" s="15"/>
      <c r="D164" s="15"/>
      <c r="E164" s="14" t="str">
        <f t="shared" si="1"/>
        <v/>
      </c>
      <c r="F164" s="15"/>
    </row>
    <row r="165" spans="2:6" ht="19.899999999999999" customHeight="1" x14ac:dyDescent="0.25">
      <c r="B165" s="15"/>
      <c r="C165" s="15"/>
      <c r="D165" s="15"/>
      <c r="E165" s="14" t="str">
        <f t="shared" si="1"/>
        <v/>
      </c>
      <c r="F165" s="15"/>
    </row>
    <row r="166" spans="2:6" ht="19.899999999999999" customHeight="1" x14ac:dyDescent="0.25">
      <c r="B166" s="15"/>
      <c r="C166" s="15"/>
      <c r="D166" s="15"/>
      <c r="E166" s="14" t="str">
        <f t="shared" si="1"/>
        <v/>
      </c>
      <c r="F166" s="15"/>
    </row>
    <row r="167" spans="2:6" ht="19.899999999999999" customHeight="1" x14ac:dyDescent="0.25">
      <c r="B167" s="15"/>
      <c r="C167" s="15"/>
      <c r="D167" s="15"/>
      <c r="E167" s="14" t="str">
        <f t="shared" si="1"/>
        <v/>
      </c>
      <c r="F167" s="15"/>
    </row>
    <row r="168" spans="2:6" ht="19.899999999999999" customHeight="1" x14ac:dyDescent="0.25">
      <c r="B168" s="15"/>
      <c r="C168" s="15"/>
      <c r="D168" s="15"/>
      <c r="E168" s="14" t="str">
        <f t="shared" si="1"/>
        <v/>
      </c>
      <c r="F168" s="15"/>
    </row>
    <row r="169" spans="2:6" ht="19.899999999999999" customHeight="1" x14ac:dyDescent="0.25">
      <c r="B169" s="15"/>
      <c r="C169" s="15"/>
      <c r="D169" s="15"/>
      <c r="E169" s="14" t="str">
        <f t="shared" ref="E169:E232" si="2">IFERROR(IF(G169&gt;0,CONCATENATE(G169," ",H169),""),"")</f>
        <v/>
      </c>
      <c r="F169" s="15"/>
    </row>
    <row r="170" spans="2:6" ht="19.899999999999999" customHeight="1" x14ac:dyDescent="0.25">
      <c r="B170" s="15"/>
      <c r="C170" s="15"/>
      <c r="D170" s="15"/>
      <c r="E170" s="14" t="str">
        <f t="shared" si="2"/>
        <v/>
      </c>
      <c r="F170" s="15"/>
    </row>
    <row r="171" spans="2:6" ht="19.899999999999999" customHeight="1" x14ac:dyDescent="0.25">
      <c r="B171" s="15"/>
      <c r="C171" s="15"/>
      <c r="D171" s="15"/>
      <c r="E171" s="14" t="str">
        <f t="shared" si="2"/>
        <v/>
      </c>
      <c r="F171" s="15"/>
    </row>
    <row r="172" spans="2:6" ht="19.899999999999999" customHeight="1" x14ac:dyDescent="0.25">
      <c r="B172" s="15"/>
      <c r="C172" s="15"/>
      <c r="D172" s="15"/>
      <c r="E172" s="14" t="str">
        <f t="shared" si="2"/>
        <v/>
      </c>
      <c r="F172" s="15"/>
    </row>
    <row r="173" spans="2:6" ht="19.899999999999999" customHeight="1" x14ac:dyDescent="0.25">
      <c r="B173" s="15"/>
      <c r="C173" s="15"/>
      <c r="D173" s="15"/>
      <c r="E173" s="14" t="str">
        <f t="shared" si="2"/>
        <v/>
      </c>
      <c r="F173" s="15"/>
    </row>
    <row r="174" spans="2:6" ht="19.899999999999999" customHeight="1" x14ac:dyDescent="0.25">
      <c r="B174" s="15"/>
      <c r="C174" s="15"/>
      <c r="D174" s="15"/>
      <c r="E174" s="14" t="str">
        <f t="shared" si="2"/>
        <v/>
      </c>
      <c r="F174" s="15"/>
    </row>
    <row r="175" spans="2:6" ht="19.899999999999999" customHeight="1" x14ac:dyDescent="0.25">
      <c r="B175" s="15"/>
      <c r="C175" s="15"/>
      <c r="D175" s="15"/>
      <c r="E175" s="14" t="str">
        <f t="shared" si="2"/>
        <v/>
      </c>
      <c r="F175" s="15"/>
    </row>
    <row r="176" spans="2:6" ht="19.899999999999999" customHeight="1" x14ac:dyDescent="0.25">
      <c r="B176" s="15"/>
      <c r="C176" s="15"/>
      <c r="D176" s="15"/>
      <c r="E176" s="14" t="str">
        <f t="shared" si="2"/>
        <v/>
      </c>
      <c r="F176" s="15"/>
    </row>
    <row r="177" spans="2:6" ht="19.899999999999999" customHeight="1" x14ac:dyDescent="0.25">
      <c r="B177" s="15"/>
      <c r="C177" s="15"/>
      <c r="D177" s="15"/>
      <c r="E177" s="14" t="str">
        <f t="shared" si="2"/>
        <v/>
      </c>
      <c r="F177" s="15"/>
    </row>
    <row r="178" spans="2:6" ht="19.899999999999999" customHeight="1" x14ac:dyDescent="0.25">
      <c r="B178" s="15"/>
      <c r="C178" s="15"/>
      <c r="D178" s="15"/>
      <c r="E178" s="14" t="str">
        <f t="shared" si="2"/>
        <v/>
      </c>
      <c r="F178" s="15"/>
    </row>
    <row r="179" spans="2:6" ht="19.899999999999999" customHeight="1" x14ac:dyDescent="0.25">
      <c r="B179" s="15"/>
      <c r="C179" s="15"/>
      <c r="D179" s="15"/>
      <c r="E179" s="14" t="str">
        <f t="shared" si="2"/>
        <v/>
      </c>
      <c r="F179" s="15"/>
    </row>
    <row r="180" spans="2:6" ht="19.899999999999999" customHeight="1" x14ac:dyDescent="0.25">
      <c r="B180" s="15"/>
      <c r="C180" s="15"/>
      <c r="D180" s="15"/>
      <c r="E180" s="14" t="str">
        <f t="shared" si="2"/>
        <v/>
      </c>
      <c r="F180" s="15"/>
    </row>
    <row r="181" spans="2:6" ht="19.899999999999999" customHeight="1" x14ac:dyDescent="0.25">
      <c r="B181" s="15"/>
      <c r="C181" s="15"/>
      <c r="D181" s="15"/>
      <c r="E181" s="14" t="str">
        <f t="shared" si="2"/>
        <v/>
      </c>
      <c r="F181" s="15"/>
    </row>
    <row r="182" spans="2:6" ht="19.899999999999999" customHeight="1" x14ac:dyDescent="0.25">
      <c r="B182" s="15"/>
      <c r="C182" s="15"/>
      <c r="D182" s="15"/>
      <c r="E182" s="14" t="str">
        <f t="shared" si="2"/>
        <v/>
      </c>
      <c r="F182" s="15"/>
    </row>
    <row r="183" spans="2:6" ht="19.899999999999999" customHeight="1" x14ac:dyDescent="0.25">
      <c r="B183" s="15"/>
      <c r="C183" s="15"/>
      <c r="D183" s="15"/>
      <c r="E183" s="14" t="str">
        <f t="shared" si="2"/>
        <v/>
      </c>
      <c r="F183" s="15"/>
    </row>
    <row r="184" spans="2:6" ht="19.899999999999999" customHeight="1" x14ac:dyDescent="0.25">
      <c r="E184" s="14" t="str">
        <f t="shared" si="2"/>
        <v/>
      </c>
      <c r="F184" s="16"/>
    </row>
    <row r="185" spans="2:6" ht="19.899999999999999" customHeight="1" x14ac:dyDescent="0.25">
      <c r="E185" s="14" t="str">
        <f t="shared" si="2"/>
        <v/>
      </c>
      <c r="F185" s="16"/>
    </row>
    <row r="186" spans="2:6" ht="19.899999999999999" customHeight="1" x14ac:dyDescent="0.25">
      <c r="E186" s="14" t="str">
        <f t="shared" si="2"/>
        <v/>
      </c>
      <c r="F186" s="16"/>
    </row>
    <row r="187" spans="2:6" ht="19.899999999999999" customHeight="1" x14ac:dyDescent="0.25">
      <c r="E187" s="14" t="str">
        <f t="shared" si="2"/>
        <v/>
      </c>
      <c r="F187" s="16"/>
    </row>
    <row r="188" spans="2:6" ht="19.899999999999999" customHeight="1" x14ac:dyDescent="0.25">
      <c r="E188" s="14" t="str">
        <f t="shared" si="2"/>
        <v/>
      </c>
      <c r="F188" s="16"/>
    </row>
    <row r="189" spans="2:6" ht="19.899999999999999" customHeight="1" x14ac:dyDescent="0.25">
      <c r="E189" s="14" t="str">
        <f t="shared" si="2"/>
        <v/>
      </c>
      <c r="F189" s="16"/>
    </row>
    <row r="190" spans="2:6" ht="19.899999999999999" customHeight="1" x14ac:dyDescent="0.25">
      <c r="E190" s="14" t="str">
        <f t="shared" si="2"/>
        <v/>
      </c>
    </row>
    <row r="191" spans="2:6" ht="19.899999999999999" customHeight="1" x14ac:dyDescent="0.25">
      <c r="E191" s="14" t="str">
        <f t="shared" si="2"/>
        <v/>
      </c>
    </row>
    <row r="192" spans="2:6" ht="19.899999999999999" customHeight="1" x14ac:dyDescent="0.25">
      <c r="E192" s="14" t="str">
        <f t="shared" si="2"/>
        <v/>
      </c>
    </row>
    <row r="193" spans="5:5" ht="19.899999999999999" customHeight="1" x14ac:dyDescent="0.25">
      <c r="E193" s="14" t="str">
        <f t="shared" si="2"/>
        <v/>
      </c>
    </row>
    <row r="194" spans="5:5" ht="19.899999999999999" customHeight="1" x14ac:dyDescent="0.25">
      <c r="E194" s="14" t="str">
        <f t="shared" si="2"/>
        <v/>
      </c>
    </row>
    <row r="195" spans="5:5" ht="19.899999999999999" customHeight="1" x14ac:dyDescent="0.25">
      <c r="E195" s="14" t="str">
        <f t="shared" si="2"/>
        <v/>
      </c>
    </row>
    <row r="196" spans="5:5" ht="19.899999999999999" customHeight="1" x14ac:dyDescent="0.25">
      <c r="E196" s="14" t="str">
        <f t="shared" si="2"/>
        <v/>
      </c>
    </row>
    <row r="197" spans="5:5" ht="19.899999999999999" customHeight="1" x14ac:dyDescent="0.25">
      <c r="E197" s="14" t="str">
        <f t="shared" si="2"/>
        <v/>
      </c>
    </row>
    <row r="198" spans="5:5" ht="19.899999999999999" customHeight="1" x14ac:dyDescent="0.25">
      <c r="E198" s="14" t="str">
        <f t="shared" si="2"/>
        <v/>
      </c>
    </row>
    <row r="199" spans="5:5" ht="19.899999999999999" customHeight="1" x14ac:dyDescent="0.25">
      <c r="E199" s="14" t="str">
        <f t="shared" si="2"/>
        <v/>
      </c>
    </row>
    <row r="200" spans="5:5" ht="19.899999999999999" customHeight="1" x14ac:dyDescent="0.25">
      <c r="E200" s="14" t="str">
        <f t="shared" si="2"/>
        <v/>
      </c>
    </row>
    <row r="201" spans="5:5" ht="19.899999999999999" customHeight="1" x14ac:dyDescent="0.25">
      <c r="E201" s="14" t="str">
        <f t="shared" si="2"/>
        <v/>
      </c>
    </row>
    <row r="202" spans="5:5" ht="19.899999999999999" customHeight="1" x14ac:dyDescent="0.25">
      <c r="E202" s="14" t="str">
        <f t="shared" si="2"/>
        <v/>
      </c>
    </row>
    <row r="203" spans="5:5" ht="19.899999999999999" customHeight="1" x14ac:dyDescent="0.25">
      <c r="E203" s="14" t="str">
        <f t="shared" si="2"/>
        <v/>
      </c>
    </row>
    <row r="204" spans="5:5" ht="19.899999999999999" customHeight="1" x14ac:dyDescent="0.25">
      <c r="E204" s="14" t="str">
        <f t="shared" si="2"/>
        <v/>
      </c>
    </row>
    <row r="205" spans="5:5" ht="19.899999999999999" customHeight="1" x14ac:dyDescent="0.25">
      <c r="E205" s="14" t="str">
        <f t="shared" si="2"/>
        <v/>
      </c>
    </row>
    <row r="206" spans="5:5" ht="19.899999999999999" customHeight="1" x14ac:dyDescent="0.25">
      <c r="E206" s="14" t="str">
        <f t="shared" si="2"/>
        <v/>
      </c>
    </row>
    <row r="207" spans="5:5" ht="19.899999999999999" customHeight="1" x14ac:dyDescent="0.25">
      <c r="E207" s="14" t="str">
        <f t="shared" si="2"/>
        <v/>
      </c>
    </row>
    <row r="208" spans="5:5" ht="19.899999999999999" customHeight="1" x14ac:dyDescent="0.25">
      <c r="E208" s="14" t="str">
        <f t="shared" si="2"/>
        <v/>
      </c>
    </row>
    <row r="209" spans="5:5" ht="19.899999999999999" customHeight="1" x14ac:dyDescent="0.25">
      <c r="E209" s="14" t="str">
        <f t="shared" si="2"/>
        <v/>
      </c>
    </row>
    <row r="210" spans="5:5" ht="19.899999999999999" customHeight="1" x14ac:dyDescent="0.25">
      <c r="E210" s="14" t="str">
        <f t="shared" si="2"/>
        <v/>
      </c>
    </row>
    <row r="211" spans="5:5" ht="19.899999999999999" customHeight="1" x14ac:dyDescent="0.25">
      <c r="E211" s="14" t="str">
        <f t="shared" si="2"/>
        <v/>
      </c>
    </row>
    <row r="212" spans="5:5" ht="19.899999999999999" customHeight="1" x14ac:dyDescent="0.25">
      <c r="E212" s="14" t="str">
        <f t="shared" si="2"/>
        <v/>
      </c>
    </row>
    <row r="213" spans="5:5" ht="19.899999999999999" customHeight="1" x14ac:dyDescent="0.25">
      <c r="E213" s="14" t="str">
        <f t="shared" si="2"/>
        <v/>
      </c>
    </row>
    <row r="214" spans="5:5" ht="19.899999999999999" customHeight="1" x14ac:dyDescent="0.25">
      <c r="E214" s="14" t="str">
        <f t="shared" si="2"/>
        <v/>
      </c>
    </row>
    <row r="215" spans="5:5" ht="19.899999999999999" customHeight="1" x14ac:dyDescent="0.25">
      <c r="E215" s="14" t="str">
        <f t="shared" si="2"/>
        <v/>
      </c>
    </row>
    <row r="216" spans="5:5" ht="19.899999999999999" customHeight="1" x14ac:dyDescent="0.25">
      <c r="E216" s="14" t="str">
        <f t="shared" si="2"/>
        <v/>
      </c>
    </row>
    <row r="217" spans="5:5" ht="19.899999999999999" customHeight="1" x14ac:dyDescent="0.25">
      <c r="E217" s="14" t="str">
        <f t="shared" si="2"/>
        <v/>
      </c>
    </row>
    <row r="218" spans="5:5" ht="19.899999999999999" customHeight="1" x14ac:dyDescent="0.25">
      <c r="E218" s="14" t="str">
        <f t="shared" si="2"/>
        <v/>
      </c>
    </row>
    <row r="219" spans="5:5" ht="19.899999999999999" customHeight="1" x14ac:dyDescent="0.25">
      <c r="E219" s="14" t="str">
        <f t="shared" si="2"/>
        <v/>
      </c>
    </row>
    <row r="220" spans="5:5" ht="19.899999999999999" customHeight="1" x14ac:dyDescent="0.25">
      <c r="E220" s="14" t="str">
        <f t="shared" si="2"/>
        <v/>
      </c>
    </row>
    <row r="221" spans="5:5" ht="19.899999999999999" customHeight="1" x14ac:dyDescent="0.25">
      <c r="E221" s="14" t="str">
        <f t="shared" si="2"/>
        <v/>
      </c>
    </row>
    <row r="222" spans="5:5" ht="19.899999999999999" customHeight="1" x14ac:dyDescent="0.25">
      <c r="E222" s="14" t="str">
        <f t="shared" si="2"/>
        <v/>
      </c>
    </row>
    <row r="223" spans="5:5" ht="19.899999999999999" customHeight="1" x14ac:dyDescent="0.25">
      <c r="E223" s="14" t="str">
        <f t="shared" si="2"/>
        <v/>
      </c>
    </row>
    <row r="224" spans="5:5" ht="19.899999999999999" customHeight="1" x14ac:dyDescent="0.25">
      <c r="E224" s="14" t="str">
        <f t="shared" si="2"/>
        <v/>
      </c>
    </row>
    <row r="225" spans="5:5" ht="19.899999999999999" customHeight="1" x14ac:dyDescent="0.25">
      <c r="E225" s="14" t="str">
        <f t="shared" si="2"/>
        <v/>
      </c>
    </row>
    <row r="226" spans="5:5" ht="19.899999999999999" customHeight="1" x14ac:dyDescent="0.25">
      <c r="E226" s="14" t="str">
        <f t="shared" si="2"/>
        <v/>
      </c>
    </row>
    <row r="227" spans="5:5" ht="19.899999999999999" customHeight="1" x14ac:dyDescent="0.25">
      <c r="E227" s="14" t="str">
        <f t="shared" si="2"/>
        <v/>
      </c>
    </row>
    <row r="228" spans="5:5" ht="19.899999999999999" customHeight="1" x14ac:dyDescent="0.25">
      <c r="E228" s="14" t="str">
        <f t="shared" si="2"/>
        <v/>
      </c>
    </row>
    <row r="229" spans="5:5" ht="19.899999999999999" customHeight="1" x14ac:dyDescent="0.25">
      <c r="E229" s="14" t="str">
        <f t="shared" si="2"/>
        <v/>
      </c>
    </row>
    <row r="230" spans="5:5" ht="19.899999999999999" customHeight="1" x14ac:dyDescent="0.25">
      <c r="E230" s="14" t="str">
        <f t="shared" si="2"/>
        <v/>
      </c>
    </row>
    <row r="231" spans="5:5" ht="19.899999999999999" customHeight="1" x14ac:dyDescent="0.25">
      <c r="E231" s="14" t="str">
        <f t="shared" si="2"/>
        <v/>
      </c>
    </row>
    <row r="232" spans="5:5" ht="19.899999999999999" customHeight="1" x14ac:dyDescent="0.25">
      <c r="E232" s="14" t="str">
        <f t="shared" si="2"/>
        <v/>
      </c>
    </row>
    <row r="233" spans="5:5" ht="19.899999999999999" customHeight="1" x14ac:dyDescent="0.25">
      <c r="E233" s="14" t="str">
        <f t="shared" ref="E233:E296" si="3">IFERROR(IF(G233&gt;0,CONCATENATE(G233," ",H233),""),"")</f>
        <v/>
      </c>
    </row>
    <row r="234" spans="5:5" ht="19.899999999999999" customHeight="1" x14ac:dyDescent="0.25">
      <c r="E234" s="14" t="str">
        <f t="shared" si="3"/>
        <v/>
      </c>
    </row>
    <row r="235" spans="5:5" ht="19.899999999999999" customHeight="1" x14ac:dyDescent="0.25">
      <c r="E235" s="14" t="str">
        <f t="shared" si="3"/>
        <v/>
      </c>
    </row>
    <row r="236" spans="5:5" ht="19.899999999999999" customHeight="1" x14ac:dyDescent="0.25">
      <c r="E236" s="14" t="str">
        <f t="shared" si="3"/>
        <v/>
      </c>
    </row>
    <row r="237" spans="5:5" ht="19.899999999999999" customHeight="1" x14ac:dyDescent="0.25">
      <c r="E237" s="14" t="str">
        <f t="shared" si="3"/>
        <v/>
      </c>
    </row>
    <row r="238" spans="5:5" ht="19.899999999999999" customHeight="1" x14ac:dyDescent="0.25">
      <c r="E238" s="14" t="str">
        <f t="shared" si="3"/>
        <v/>
      </c>
    </row>
    <row r="239" spans="5:5" ht="19.899999999999999" customHeight="1" x14ac:dyDescent="0.25">
      <c r="E239" s="14" t="str">
        <f t="shared" si="3"/>
        <v/>
      </c>
    </row>
    <row r="240" spans="5:5" ht="19.899999999999999" customHeight="1" x14ac:dyDescent="0.25">
      <c r="E240" s="14" t="str">
        <f t="shared" si="3"/>
        <v/>
      </c>
    </row>
    <row r="241" spans="5:5" ht="19.899999999999999" customHeight="1" x14ac:dyDescent="0.25">
      <c r="E241" s="14" t="str">
        <f t="shared" si="3"/>
        <v/>
      </c>
    </row>
    <row r="242" spans="5:5" ht="19.899999999999999" customHeight="1" x14ac:dyDescent="0.25">
      <c r="E242" s="14" t="str">
        <f t="shared" si="3"/>
        <v/>
      </c>
    </row>
    <row r="243" spans="5:5" ht="19.899999999999999" customHeight="1" x14ac:dyDescent="0.25">
      <c r="E243" s="14" t="str">
        <f t="shared" si="3"/>
        <v/>
      </c>
    </row>
    <row r="244" spans="5:5" ht="19.899999999999999" customHeight="1" x14ac:dyDescent="0.25">
      <c r="E244" s="14" t="str">
        <f t="shared" si="3"/>
        <v/>
      </c>
    </row>
    <row r="245" spans="5:5" ht="19.899999999999999" customHeight="1" x14ac:dyDescent="0.25">
      <c r="E245" s="14" t="str">
        <f t="shared" si="3"/>
        <v/>
      </c>
    </row>
    <row r="246" spans="5:5" ht="19.899999999999999" customHeight="1" x14ac:dyDescent="0.25">
      <c r="E246" s="14" t="str">
        <f t="shared" si="3"/>
        <v/>
      </c>
    </row>
    <row r="247" spans="5:5" ht="19.899999999999999" customHeight="1" x14ac:dyDescent="0.25">
      <c r="E247" s="14" t="str">
        <f t="shared" si="3"/>
        <v/>
      </c>
    </row>
    <row r="248" spans="5:5" ht="19.899999999999999" customHeight="1" x14ac:dyDescent="0.25">
      <c r="E248" s="14" t="str">
        <f t="shared" si="3"/>
        <v/>
      </c>
    </row>
    <row r="249" spans="5:5" ht="19.899999999999999" customHeight="1" x14ac:dyDescent="0.25">
      <c r="E249" s="14" t="str">
        <f t="shared" si="3"/>
        <v/>
      </c>
    </row>
    <row r="250" spans="5:5" ht="19.899999999999999" customHeight="1" x14ac:dyDescent="0.25">
      <c r="E250" s="14" t="str">
        <f t="shared" si="3"/>
        <v/>
      </c>
    </row>
    <row r="251" spans="5:5" ht="19.899999999999999" customHeight="1" x14ac:dyDescent="0.25">
      <c r="E251" s="14" t="str">
        <f t="shared" si="3"/>
        <v/>
      </c>
    </row>
    <row r="252" spans="5:5" ht="19.899999999999999" customHeight="1" x14ac:dyDescent="0.25">
      <c r="E252" s="14" t="str">
        <f t="shared" si="3"/>
        <v/>
      </c>
    </row>
    <row r="253" spans="5:5" ht="19.899999999999999" customHeight="1" x14ac:dyDescent="0.25">
      <c r="E253" s="14" t="str">
        <f t="shared" si="3"/>
        <v/>
      </c>
    </row>
    <row r="254" spans="5:5" ht="19.899999999999999" customHeight="1" x14ac:dyDescent="0.25">
      <c r="E254" s="14" t="str">
        <f t="shared" si="3"/>
        <v/>
      </c>
    </row>
    <row r="255" spans="5:5" ht="19.899999999999999" customHeight="1" x14ac:dyDescent="0.25">
      <c r="E255" s="14" t="str">
        <f t="shared" si="3"/>
        <v/>
      </c>
    </row>
    <row r="256" spans="5:5" ht="19.899999999999999" customHeight="1" x14ac:dyDescent="0.25">
      <c r="E256" s="14" t="str">
        <f t="shared" si="3"/>
        <v/>
      </c>
    </row>
    <row r="257" spans="5:5" ht="19.899999999999999" customHeight="1" x14ac:dyDescent="0.25">
      <c r="E257" s="14" t="str">
        <f t="shared" si="3"/>
        <v/>
      </c>
    </row>
    <row r="258" spans="5:5" ht="19.899999999999999" customHeight="1" x14ac:dyDescent="0.25">
      <c r="E258" s="14" t="str">
        <f t="shared" si="3"/>
        <v/>
      </c>
    </row>
    <row r="259" spans="5:5" ht="19.899999999999999" customHeight="1" x14ac:dyDescent="0.25">
      <c r="E259" s="14" t="str">
        <f t="shared" si="3"/>
        <v/>
      </c>
    </row>
    <row r="260" spans="5:5" ht="19.899999999999999" customHeight="1" x14ac:dyDescent="0.25">
      <c r="E260" s="14" t="str">
        <f t="shared" si="3"/>
        <v/>
      </c>
    </row>
    <row r="261" spans="5:5" ht="19.899999999999999" customHeight="1" x14ac:dyDescent="0.25">
      <c r="E261" s="14" t="str">
        <f t="shared" si="3"/>
        <v/>
      </c>
    </row>
    <row r="262" spans="5:5" ht="19.899999999999999" customHeight="1" x14ac:dyDescent="0.25">
      <c r="E262" s="14" t="str">
        <f t="shared" si="3"/>
        <v/>
      </c>
    </row>
    <row r="263" spans="5:5" ht="19.899999999999999" customHeight="1" x14ac:dyDescent="0.25">
      <c r="E263" s="14" t="str">
        <f t="shared" si="3"/>
        <v/>
      </c>
    </row>
    <row r="264" spans="5:5" ht="19.899999999999999" customHeight="1" x14ac:dyDescent="0.25">
      <c r="E264" s="14" t="str">
        <f t="shared" si="3"/>
        <v/>
      </c>
    </row>
    <row r="265" spans="5:5" ht="19.899999999999999" customHeight="1" x14ac:dyDescent="0.25">
      <c r="E265" s="14" t="str">
        <f t="shared" si="3"/>
        <v/>
      </c>
    </row>
    <row r="266" spans="5:5" ht="19.899999999999999" customHeight="1" x14ac:dyDescent="0.25">
      <c r="E266" s="14" t="str">
        <f t="shared" si="3"/>
        <v/>
      </c>
    </row>
    <row r="267" spans="5:5" ht="19.899999999999999" customHeight="1" x14ac:dyDescent="0.25">
      <c r="E267" s="14" t="str">
        <f t="shared" si="3"/>
        <v/>
      </c>
    </row>
    <row r="268" spans="5:5" ht="19.899999999999999" customHeight="1" x14ac:dyDescent="0.25">
      <c r="E268" s="14" t="str">
        <f t="shared" si="3"/>
        <v/>
      </c>
    </row>
    <row r="269" spans="5:5" ht="19.899999999999999" customHeight="1" x14ac:dyDescent="0.25">
      <c r="E269" s="14" t="str">
        <f t="shared" si="3"/>
        <v/>
      </c>
    </row>
    <row r="270" spans="5:5" ht="19.899999999999999" customHeight="1" x14ac:dyDescent="0.25">
      <c r="E270" s="14" t="str">
        <f t="shared" si="3"/>
        <v/>
      </c>
    </row>
    <row r="271" spans="5:5" ht="19.899999999999999" customHeight="1" x14ac:dyDescent="0.25">
      <c r="E271" s="14" t="str">
        <f t="shared" si="3"/>
        <v/>
      </c>
    </row>
    <row r="272" spans="5:5" ht="19.899999999999999" customHeight="1" x14ac:dyDescent="0.25">
      <c r="E272" s="14" t="str">
        <f t="shared" si="3"/>
        <v/>
      </c>
    </row>
    <row r="273" spans="5:5" ht="19.899999999999999" customHeight="1" x14ac:dyDescent="0.25">
      <c r="E273" s="14" t="str">
        <f t="shared" si="3"/>
        <v/>
      </c>
    </row>
    <row r="274" spans="5:5" ht="19.899999999999999" customHeight="1" x14ac:dyDescent="0.25">
      <c r="E274" s="14" t="str">
        <f t="shared" si="3"/>
        <v/>
      </c>
    </row>
    <row r="275" spans="5:5" ht="19.899999999999999" customHeight="1" x14ac:dyDescent="0.25">
      <c r="E275" s="14" t="str">
        <f t="shared" si="3"/>
        <v/>
      </c>
    </row>
    <row r="276" spans="5:5" ht="19.899999999999999" customHeight="1" x14ac:dyDescent="0.25">
      <c r="E276" s="14" t="str">
        <f t="shared" si="3"/>
        <v/>
      </c>
    </row>
    <row r="277" spans="5:5" ht="19.899999999999999" customHeight="1" x14ac:dyDescent="0.25">
      <c r="E277" s="14" t="str">
        <f t="shared" si="3"/>
        <v/>
      </c>
    </row>
    <row r="278" spans="5:5" ht="19.899999999999999" customHeight="1" x14ac:dyDescent="0.25">
      <c r="E278" s="14" t="str">
        <f t="shared" si="3"/>
        <v/>
      </c>
    </row>
    <row r="279" spans="5:5" ht="19.899999999999999" customHeight="1" x14ac:dyDescent="0.25">
      <c r="E279" s="14" t="str">
        <f t="shared" si="3"/>
        <v/>
      </c>
    </row>
    <row r="280" spans="5:5" ht="19.899999999999999" customHeight="1" x14ac:dyDescent="0.25">
      <c r="E280" s="14" t="str">
        <f t="shared" si="3"/>
        <v/>
      </c>
    </row>
    <row r="281" spans="5:5" ht="19.899999999999999" customHeight="1" x14ac:dyDescent="0.25">
      <c r="E281" s="14" t="str">
        <f t="shared" si="3"/>
        <v/>
      </c>
    </row>
    <row r="282" spans="5:5" ht="19.899999999999999" customHeight="1" x14ac:dyDescent="0.25">
      <c r="E282" s="14" t="str">
        <f t="shared" si="3"/>
        <v/>
      </c>
    </row>
    <row r="283" spans="5:5" ht="19.899999999999999" customHeight="1" x14ac:dyDescent="0.25">
      <c r="E283" s="14" t="str">
        <f t="shared" si="3"/>
        <v/>
      </c>
    </row>
    <row r="284" spans="5:5" ht="19.899999999999999" customHeight="1" x14ac:dyDescent="0.25">
      <c r="E284" s="14" t="str">
        <f t="shared" si="3"/>
        <v/>
      </c>
    </row>
    <row r="285" spans="5:5" ht="19.899999999999999" customHeight="1" x14ac:dyDescent="0.25">
      <c r="E285" s="14" t="str">
        <f t="shared" si="3"/>
        <v/>
      </c>
    </row>
    <row r="286" spans="5:5" ht="19.899999999999999" customHeight="1" x14ac:dyDescent="0.25">
      <c r="E286" s="14" t="str">
        <f t="shared" si="3"/>
        <v/>
      </c>
    </row>
    <row r="287" spans="5:5" ht="19.899999999999999" customHeight="1" x14ac:dyDescent="0.25">
      <c r="E287" s="14" t="str">
        <f t="shared" si="3"/>
        <v/>
      </c>
    </row>
    <row r="288" spans="5:5" ht="19.899999999999999" customHeight="1" x14ac:dyDescent="0.25">
      <c r="E288" s="14" t="str">
        <f t="shared" si="3"/>
        <v/>
      </c>
    </row>
    <row r="289" spans="5:5" ht="19.899999999999999" customHeight="1" x14ac:dyDescent="0.25">
      <c r="E289" s="14" t="str">
        <f t="shared" si="3"/>
        <v/>
      </c>
    </row>
    <row r="290" spans="5:5" ht="19.899999999999999" customHeight="1" x14ac:dyDescent="0.25">
      <c r="E290" s="14" t="str">
        <f t="shared" si="3"/>
        <v/>
      </c>
    </row>
    <row r="291" spans="5:5" ht="19.899999999999999" customHeight="1" x14ac:dyDescent="0.25">
      <c r="E291" s="14" t="str">
        <f t="shared" si="3"/>
        <v/>
      </c>
    </row>
    <row r="292" spans="5:5" ht="19.899999999999999" customHeight="1" x14ac:dyDescent="0.25">
      <c r="E292" s="14" t="str">
        <f t="shared" si="3"/>
        <v/>
      </c>
    </row>
    <row r="293" spans="5:5" ht="19.899999999999999" customHeight="1" x14ac:dyDescent="0.25">
      <c r="E293" s="14" t="str">
        <f t="shared" si="3"/>
        <v/>
      </c>
    </row>
    <row r="294" spans="5:5" ht="19.899999999999999" customHeight="1" x14ac:dyDescent="0.25">
      <c r="E294" s="14" t="str">
        <f t="shared" si="3"/>
        <v/>
      </c>
    </row>
    <row r="295" spans="5:5" ht="19.899999999999999" customHeight="1" x14ac:dyDescent="0.25">
      <c r="E295" s="14" t="str">
        <f t="shared" si="3"/>
        <v/>
      </c>
    </row>
    <row r="296" spans="5:5" ht="19.899999999999999" customHeight="1" x14ac:dyDescent="0.25">
      <c r="E296" s="14" t="str">
        <f t="shared" si="3"/>
        <v/>
      </c>
    </row>
    <row r="297" spans="5:5" ht="19.899999999999999" customHeight="1" x14ac:dyDescent="0.25">
      <c r="E297" s="14" t="str">
        <f t="shared" ref="E297:E350" si="4">IFERROR(IF(G297&gt;0,CONCATENATE(G297," ",H297),""),"")</f>
        <v/>
      </c>
    </row>
    <row r="298" spans="5:5" ht="19.899999999999999" customHeight="1" x14ac:dyDescent="0.25">
      <c r="E298" s="14" t="str">
        <f t="shared" si="4"/>
        <v/>
      </c>
    </row>
    <row r="299" spans="5:5" ht="19.899999999999999" customHeight="1" x14ac:dyDescent="0.25">
      <c r="E299" s="14" t="str">
        <f t="shared" si="4"/>
        <v/>
      </c>
    </row>
    <row r="300" spans="5:5" ht="19.899999999999999" customHeight="1" x14ac:dyDescent="0.25">
      <c r="E300" s="14" t="str">
        <f t="shared" si="4"/>
        <v/>
      </c>
    </row>
    <row r="301" spans="5:5" ht="19.899999999999999" customHeight="1" x14ac:dyDescent="0.25">
      <c r="E301" s="14" t="str">
        <f t="shared" si="4"/>
        <v/>
      </c>
    </row>
    <row r="302" spans="5:5" ht="19.899999999999999" customHeight="1" x14ac:dyDescent="0.25">
      <c r="E302" s="14" t="str">
        <f t="shared" si="4"/>
        <v/>
      </c>
    </row>
    <row r="303" spans="5:5" ht="19.899999999999999" customHeight="1" x14ac:dyDescent="0.25">
      <c r="E303" s="14" t="str">
        <f t="shared" si="4"/>
        <v/>
      </c>
    </row>
    <row r="304" spans="5:5" ht="19.899999999999999" customHeight="1" x14ac:dyDescent="0.25">
      <c r="E304" s="14" t="str">
        <f t="shared" si="4"/>
        <v/>
      </c>
    </row>
    <row r="305" spans="5:5" ht="19.899999999999999" customHeight="1" x14ac:dyDescent="0.25">
      <c r="E305" s="14" t="str">
        <f t="shared" si="4"/>
        <v/>
      </c>
    </row>
    <row r="306" spans="5:5" ht="19.899999999999999" customHeight="1" x14ac:dyDescent="0.25">
      <c r="E306" s="14" t="str">
        <f t="shared" si="4"/>
        <v/>
      </c>
    </row>
    <row r="307" spans="5:5" ht="19.899999999999999" customHeight="1" x14ac:dyDescent="0.25">
      <c r="E307" s="14" t="str">
        <f t="shared" si="4"/>
        <v/>
      </c>
    </row>
    <row r="308" spans="5:5" ht="19.899999999999999" customHeight="1" x14ac:dyDescent="0.25">
      <c r="E308" s="14" t="str">
        <f t="shared" si="4"/>
        <v/>
      </c>
    </row>
    <row r="309" spans="5:5" ht="19.899999999999999" customHeight="1" x14ac:dyDescent="0.25">
      <c r="E309" s="14" t="str">
        <f t="shared" si="4"/>
        <v/>
      </c>
    </row>
    <row r="310" spans="5:5" ht="19.899999999999999" customHeight="1" x14ac:dyDescent="0.25">
      <c r="E310" s="14" t="str">
        <f t="shared" si="4"/>
        <v/>
      </c>
    </row>
    <row r="311" spans="5:5" ht="19.899999999999999" customHeight="1" x14ac:dyDescent="0.25">
      <c r="E311" s="14" t="str">
        <f t="shared" si="4"/>
        <v/>
      </c>
    </row>
    <row r="312" spans="5:5" ht="19.899999999999999" customHeight="1" x14ac:dyDescent="0.25">
      <c r="E312" s="14" t="str">
        <f t="shared" si="4"/>
        <v/>
      </c>
    </row>
    <row r="313" spans="5:5" ht="19.899999999999999" customHeight="1" x14ac:dyDescent="0.25">
      <c r="E313" s="14" t="str">
        <f t="shared" si="4"/>
        <v/>
      </c>
    </row>
    <row r="314" spans="5:5" ht="19.899999999999999" customHeight="1" x14ac:dyDescent="0.25">
      <c r="E314" s="14" t="str">
        <f t="shared" si="4"/>
        <v/>
      </c>
    </row>
    <row r="315" spans="5:5" ht="19.899999999999999" customHeight="1" x14ac:dyDescent="0.25">
      <c r="E315" s="14" t="str">
        <f t="shared" si="4"/>
        <v/>
      </c>
    </row>
    <row r="316" spans="5:5" ht="19.899999999999999" customHeight="1" x14ac:dyDescent="0.25">
      <c r="E316" s="14" t="str">
        <f t="shared" si="4"/>
        <v/>
      </c>
    </row>
    <row r="317" spans="5:5" ht="19.899999999999999" customHeight="1" x14ac:dyDescent="0.25">
      <c r="E317" s="14" t="str">
        <f t="shared" si="4"/>
        <v/>
      </c>
    </row>
    <row r="318" spans="5:5" ht="19.899999999999999" customHeight="1" x14ac:dyDescent="0.25">
      <c r="E318" s="14" t="str">
        <f t="shared" si="4"/>
        <v/>
      </c>
    </row>
    <row r="319" spans="5:5" ht="19.899999999999999" customHeight="1" x14ac:dyDescent="0.25">
      <c r="E319" s="14" t="str">
        <f t="shared" si="4"/>
        <v/>
      </c>
    </row>
    <row r="320" spans="5:5" ht="19.899999999999999" customHeight="1" x14ac:dyDescent="0.25">
      <c r="E320" s="14" t="str">
        <f t="shared" si="4"/>
        <v/>
      </c>
    </row>
    <row r="321" spans="5:5" ht="19.899999999999999" customHeight="1" x14ac:dyDescent="0.25">
      <c r="E321" s="14" t="str">
        <f t="shared" si="4"/>
        <v/>
      </c>
    </row>
    <row r="322" spans="5:5" ht="19.899999999999999" customHeight="1" x14ac:dyDescent="0.25">
      <c r="E322" s="14" t="str">
        <f t="shared" si="4"/>
        <v/>
      </c>
    </row>
    <row r="323" spans="5:5" ht="19.899999999999999" customHeight="1" x14ac:dyDescent="0.25">
      <c r="E323" s="14" t="str">
        <f t="shared" si="4"/>
        <v/>
      </c>
    </row>
    <row r="324" spans="5:5" ht="19.899999999999999" customHeight="1" x14ac:dyDescent="0.25">
      <c r="E324" s="14" t="str">
        <f t="shared" si="4"/>
        <v/>
      </c>
    </row>
    <row r="325" spans="5:5" ht="19.899999999999999" customHeight="1" x14ac:dyDescent="0.25">
      <c r="E325" s="14" t="str">
        <f t="shared" si="4"/>
        <v/>
      </c>
    </row>
    <row r="326" spans="5:5" ht="19.899999999999999" customHeight="1" x14ac:dyDescent="0.25">
      <c r="E326" s="14" t="str">
        <f t="shared" si="4"/>
        <v/>
      </c>
    </row>
    <row r="327" spans="5:5" ht="19.899999999999999" customHeight="1" x14ac:dyDescent="0.25">
      <c r="E327" s="14" t="str">
        <f t="shared" si="4"/>
        <v/>
      </c>
    </row>
    <row r="328" spans="5:5" ht="19.899999999999999" customHeight="1" x14ac:dyDescent="0.25">
      <c r="E328" s="14" t="str">
        <f t="shared" si="4"/>
        <v/>
      </c>
    </row>
    <row r="329" spans="5:5" ht="19.899999999999999" customHeight="1" x14ac:dyDescent="0.25">
      <c r="E329" s="14" t="str">
        <f t="shared" si="4"/>
        <v/>
      </c>
    </row>
    <row r="330" spans="5:5" ht="19.899999999999999" customHeight="1" x14ac:dyDescent="0.25">
      <c r="E330" s="14" t="str">
        <f t="shared" si="4"/>
        <v/>
      </c>
    </row>
    <row r="331" spans="5:5" ht="19.899999999999999" customHeight="1" x14ac:dyDescent="0.25">
      <c r="E331" s="14" t="str">
        <f t="shared" si="4"/>
        <v/>
      </c>
    </row>
    <row r="332" spans="5:5" ht="19.899999999999999" customHeight="1" x14ac:dyDescent="0.25">
      <c r="E332" s="14" t="str">
        <f t="shared" si="4"/>
        <v/>
      </c>
    </row>
    <row r="333" spans="5:5" ht="19.899999999999999" customHeight="1" x14ac:dyDescent="0.25">
      <c r="E333" s="14" t="str">
        <f t="shared" si="4"/>
        <v/>
      </c>
    </row>
    <row r="334" spans="5:5" ht="19.899999999999999" customHeight="1" x14ac:dyDescent="0.25">
      <c r="E334" s="14" t="str">
        <f t="shared" si="4"/>
        <v/>
      </c>
    </row>
    <row r="335" spans="5:5" ht="19.899999999999999" customHeight="1" x14ac:dyDescent="0.25">
      <c r="E335" s="14" t="str">
        <f t="shared" si="4"/>
        <v/>
      </c>
    </row>
    <row r="336" spans="5:5" ht="19.899999999999999" customHeight="1" x14ac:dyDescent="0.25">
      <c r="E336" s="14" t="str">
        <f t="shared" si="4"/>
        <v/>
      </c>
    </row>
    <row r="337" spans="5:5" ht="19.899999999999999" customHeight="1" x14ac:dyDescent="0.25">
      <c r="E337" s="14" t="str">
        <f t="shared" si="4"/>
        <v/>
      </c>
    </row>
    <row r="338" spans="5:5" ht="19.899999999999999" customHeight="1" x14ac:dyDescent="0.25">
      <c r="E338" s="14" t="str">
        <f t="shared" si="4"/>
        <v/>
      </c>
    </row>
    <row r="339" spans="5:5" ht="19.899999999999999" customHeight="1" x14ac:dyDescent="0.25">
      <c r="E339" s="14" t="str">
        <f t="shared" si="4"/>
        <v/>
      </c>
    </row>
    <row r="340" spans="5:5" ht="19.899999999999999" customHeight="1" x14ac:dyDescent="0.25">
      <c r="E340" s="14" t="str">
        <f t="shared" si="4"/>
        <v/>
      </c>
    </row>
    <row r="341" spans="5:5" ht="19.899999999999999" customHeight="1" x14ac:dyDescent="0.25">
      <c r="E341" s="14" t="str">
        <f t="shared" si="4"/>
        <v/>
      </c>
    </row>
    <row r="342" spans="5:5" ht="19.899999999999999" customHeight="1" x14ac:dyDescent="0.25">
      <c r="E342" s="14" t="str">
        <f t="shared" si="4"/>
        <v/>
      </c>
    </row>
    <row r="343" spans="5:5" ht="19.899999999999999" customHeight="1" x14ac:dyDescent="0.25">
      <c r="E343" s="14" t="str">
        <f t="shared" si="4"/>
        <v/>
      </c>
    </row>
    <row r="344" spans="5:5" ht="19.899999999999999" customHeight="1" x14ac:dyDescent="0.25">
      <c r="E344" s="14" t="str">
        <f t="shared" si="4"/>
        <v/>
      </c>
    </row>
    <row r="345" spans="5:5" ht="19.899999999999999" customHeight="1" x14ac:dyDescent="0.25">
      <c r="E345" s="14" t="str">
        <f t="shared" si="4"/>
        <v/>
      </c>
    </row>
    <row r="346" spans="5:5" ht="19.899999999999999" customHeight="1" x14ac:dyDescent="0.25">
      <c r="E346" s="14" t="str">
        <f t="shared" si="4"/>
        <v/>
      </c>
    </row>
    <row r="347" spans="5:5" ht="19.899999999999999" customHeight="1" x14ac:dyDescent="0.25">
      <c r="E347" s="14" t="str">
        <f t="shared" si="4"/>
        <v/>
      </c>
    </row>
    <row r="348" spans="5:5" ht="19.899999999999999" customHeight="1" x14ac:dyDescent="0.25">
      <c r="E348" s="14" t="str">
        <f t="shared" si="4"/>
        <v/>
      </c>
    </row>
    <row r="349" spans="5:5" ht="19.899999999999999" customHeight="1" x14ac:dyDescent="0.25">
      <c r="E349" s="14" t="str">
        <f t="shared" si="4"/>
        <v/>
      </c>
    </row>
    <row r="350" spans="5:5" ht="19.899999999999999" customHeight="1" x14ac:dyDescent="0.25">
      <c r="E350" s="14" t="str">
        <f t="shared" si="4"/>
        <v/>
      </c>
    </row>
  </sheetData>
  <sheetProtection algorithmName="SHA-512" hashValue="OUlwreZi2OHNk6P42vb1j/je0cW23yih3Iu6qG5Er1wshQ5ckQ30hxUg5EklS9SfxYdF3PlebKJHW3PtJh0lSw==" saltValue="PDKlV9Odc8d+dvXFsuJoJQ==" spinCount="100000" sheet="1" objects="1" scenarios="1" selectLockedCells="1" selectUnlockedCells="1"/>
  <mergeCells count="146">
    <mergeCell ref="B142:D142"/>
    <mergeCell ref="B143:D143"/>
    <mergeCell ref="B144:D144"/>
    <mergeCell ref="B145:D145"/>
    <mergeCell ref="B146:D146"/>
    <mergeCell ref="B40:D40"/>
    <mergeCell ref="B41:D41"/>
    <mergeCell ref="B38:E38"/>
    <mergeCell ref="B12:E12"/>
    <mergeCell ref="B22:E22"/>
    <mergeCell ref="B24:E24"/>
    <mergeCell ref="B20:D20"/>
    <mergeCell ref="B21:D21"/>
    <mergeCell ref="B13:D13"/>
    <mergeCell ref="B14:D14"/>
    <mergeCell ref="B15:D15"/>
    <mergeCell ref="B16:D16"/>
    <mergeCell ref="B17:D17"/>
    <mergeCell ref="B18:D18"/>
    <mergeCell ref="B19:D19"/>
    <mergeCell ref="B33:D33"/>
    <mergeCell ref="B34:D34"/>
    <mergeCell ref="B35:D35"/>
    <mergeCell ref="B39:D39"/>
    <mergeCell ref="B36:E36"/>
    <mergeCell ref="B37:E37"/>
    <mergeCell ref="B47:D47"/>
    <mergeCell ref="B48:D48"/>
    <mergeCell ref="B49:D49"/>
    <mergeCell ref="B50:D50"/>
    <mergeCell ref="B51:D51"/>
    <mergeCell ref="B42:D42"/>
    <mergeCell ref="B43:D43"/>
    <mergeCell ref="B44:D44"/>
    <mergeCell ref="B45:D45"/>
    <mergeCell ref="B46:D46"/>
    <mergeCell ref="B57:D57"/>
    <mergeCell ref="B58:D58"/>
    <mergeCell ref="B59:D59"/>
    <mergeCell ref="B60:D60"/>
    <mergeCell ref="B61:D61"/>
    <mergeCell ref="B52:D52"/>
    <mergeCell ref="B53:D53"/>
    <mergeCell ref="B54:D54"/>
    <mergeCell ref="B55:D55"/>
    <mergeCell ref="B56:D56"/>
    <mergeCell ref="B67:D67"/>
    <mergeCell ref="B68:D68"/>
    <mergeCell ref="B69:D69"/>
    <mergeCell ref="B70:D70"/>
    <mergeCell ref="B71:D71"/>
    <mergeCell ref="B62:D62"/>
    <mergeCell ref="B63:D63"/>
    <mergeCell ref="B64:D64"/>
    <mergeCell ref="B65:D65"/>
    <mergeCell ref="B66:D66"/>
    <mergeCell ref="B77:D77"/>
    <mergeCell ref="B78:D78"/>
    <mergeCell ref="B79:D79"/>
    <mergeCell ref="B80:D80"/>
    <mergeCell ref="B81:D81"/>
    <mergeCell ref="B72:D72"/>
    <mergeCell ref="B73:D73"/>
    <mergeCell ref="B74:D74"/>
    <mergeCell ref="B75:D75"/>
    <mergeCell ref="B76:D76"/>
    <mergeCell ref="B87:D87"/>
    <mergeCell ref="B88:D88"/>
    <mergeCell ref="B89:D89"/>
    <mergeCell ref="B90:D90"/>
    <mergeCell ref="B91:D91"/>
    <mergeCell ref="B82:D82"/>
    <mergeCell ref="B83:D83"/>
    <mergeCell ref="B84:D84"/>
    <mergeCell ref="B85:D85"/>
    <mergeCell ref="B86:D86"/>
    <mergeCell ref="B97:D97"/>
    <mergeCell ref="B98:D98"/>
    <mergeCell ref="B99:D99"/>
    <mergeCell ref="B100:D100"/>
    <mergeCell ref="B101:D101"/>
    <mergeCell ref="B92:D92"/>
    <mergeCell ref="B93:D93"/>
    <mergeCell ref="B94:D94"/>
    <mergeCell ref="B95:D95"/>
    <mergeCell ref="B96:D96"/>
    <mergeCell ref="B115:D115"/>
    <mergeCell ref="B116:D116"/>
    <mergeCell ref="B107:D107"/>
    <mergeCell ref="B108:D108"/>
    <mergeCell ref="B109:D109"/>
    <mergeCell ref="B110:D110"/>
    <mergeCell ref="B111:D111"/>
    <mergeCell ref="B102:D102"/>
    <mergeCell ref="B103:D103"/>
    <mergeCell ref="B104:D104"/>
    <mergeCell ref="B105:D105"/>
    <mergeCell ref="B106:D106"/>
    <mergeCell ref="D8:E8"/>
    <mergeCell ref="B132:D132"/>
    <mergeCell ref="B133:D133"/>
    <mergeCell ref="B134:D134"/>
    <mergeCell ref="B135:D135"/>
    <mergeCell ref="B136:D136"/>
    <mergeCell ref="B127:D127"/>
    <mergeCell ref="B128:D128"/>
    <mergeCell ref="B129:D129"/>
    <mergeCell ref="B130:D130"/>
    <mergeCell ref="B131:D131"/>
    <mergeCell ref="B122:D122"/>
    <mergeCell ref="B123:D123"/>
    <mergeCell ref="B124:D124"/>
    <mergeCell ref="B125:D125"/>
    <mergeCell ref="B126:D126"/>
    <mergeCell ref="B117:D117"/>
    <mergeCell ref="B118:D118"/>
    <mergeCell ref="B119:D119"/>
    <mergeCell ref="B120:D120"/>
    <mergeCell ref="B121:D121"/>
    <mergeCell ref="B112:D112"/>
    <mergeCell ref="B113:D113"/>
    <mergeCell ref="B114:D114"/>
    <mergeCell ref="D9:E9"/>
    <mergeCell ref="D10:E10"/>
    <mergeCell ref="B137:D137"/>
    <mergeCell ref="B138:D138"/>
    <mergeCell ref="B139:D139"/>
    <mergeCell ref="B140:D140"/>
    <mergeCell ref="B141:D141"/>
    <mergeCell ref="D11:E11"/>
    <mergeCell ref="B25:D25"/>
    <mergeCell ref="B26:D26"/>
    <mergeCell ref="B27:D27"/>
    <mergeCell ref="B28:D28"/>
    <mergeCell ref="B29:D29"/>
    <mergeCell ref="B30:D30"/>
    <mergeCell ref="B31:D31"/>
    <mergeCell ref="B32:D32"/>
    <mergeCell ref="B2:B11"/>
    <mergeCell ref="C2:E2"/>
    <mergeCell ref="B23:E23"/>
    <mergeCell ref="D3:E3"/>
    <mergeCell ref="D4:E4"/>
    <mergeCell ref="D5:E5"/>
    <mergeCell ref="D6:E6"/>
    <mergeCell ref="D7:E7"/>
  </mergeCells>
  <conditionalFormatting sqref="B25:F35 B36 F36">
    <cfRule type="expression" dxfId="1" priority="3">
      <formula>$E25&lt;&gt;""</formula>
    </cfRule>
  </conditionalFormatting>
  <conditionalFormatting sqref="B40:E230">
    <cfRule type="expression" dxfId="0" priority="1">
      <formula>$B40&lt;&gt;""</formula>
    </cfRule>
  </conditionalFormatting>
  <pageMargins left="0.47" right="0.36" top="0.73" bottom="0.62" header="0.37" footer="0.34"/>
  <pageSetup scale="76" fitToHeight="0" orientation="portrait" r:id="rId1"/>
  <headerFooter alignWithMargins="0">
    <oddHeader xml:space="preserve">&amp;LCity of Franklin&amp;CSurety Calcutions&amp;R&amp;D
</oddHeader>
    <oddFooter>&amp;R&amp;"Times New Roman,Italic" Sheet &amp;P of 4</oddFooter>
  </headerFooter>
  <ignoredErrors>
    <ignoredError sqref="D4" formula="1"/>
    <ignoredError sqref="G42:H42 G43:G62 H43:H62 G63:H95" evalError="1"/>
  </ignoredErrors>
  <drawing r:id="rId2"/>
  <webPublishItems count="2">
    <webPublishItem id="25516" divId="COF Surety Calculator v23-1_25516" sourceType="range" sourceRef="B24:E62" destinationFile="C:\Users\kevin.long\OneDrive - City of Franklin Government\Desktop\COF Surety Calculator v23-1.htm"/>
    <webPublishItem id="6356" divId="Approved Surety Calculator 2024_02-BETA_6356" sourceType="range" sourceRef="B24:E145" destinationFile="C:\Users\kevin.long\OneDrive - City of Franklin Government\Desktop\Approved Surety Calculator 2024_02-BETA.htm"/>
  </webPublishItem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CFA6B-5D13-4F63-BDEC-026DBD4FA114}">
  <dimension ref="A1:D110"/>
  <sheetViews>
    <sheetView workbookViewId="0">
      <selection activeCell="D25" sqref="D25"/>
    </sheetView>
  </sheetViews>
  <sheetFormatPr defaultRowHeight="15" x14ac:dyDescent="0.25"/>
  <cols>
    <col min="1" max="1" width="20.7109375" customWidth="1"/>
    <col min="2" max="2" width="73.7109375" customWidth="1"/>
    <col min="4" max="4" width="10" bestFit="1" customWidth="1"/>
  </cols>
  <sheetData>
    <row r="1" spans="1:2" ht="15.75" x14ac:dyDescent="0.25">
      <c r="A1" s="17" t="s">
        <v>27</v>
      </c>
      <c r="B1" s="17">
        <v>7500</v>
      </c>
    </row>
    <row r="2" spans="1:2" ht="15.75" x14ac:dyDescent="0.25">
      <c r="A2" s="18" t="s">
        <v>29</v>
      </c>
      <c r="B2" s="18">
        <f>$B$1*'Surety Calculations Form'!$D$11</f>
        <v>0</v>
      </c>
    </row>
    <row r="4" spans="1:2" x14ac:dyDescent="0.25">
      <c r="A4" t="e" cm="1" vm="1">
        <f t="array" ref="A4">_xlfn._xlws.FILTER('Surety Calculations Form'!A48:A198, LEN('Surety Calculations Form'!A48:A198)&gt;0)</f>
        <v>#VALUE!</v>
      </c>
      <c r="B4" t="e" vm="2">
        <f>(VLOOKUP(Calcs!$A4,'Surety Calculations Form'!$A$48:$H$204,2,FALSE))</f>
        <v>#VALUE!</v>
      </c>
    </row>
    <row r="5" spans="1:2" x14ac:dyDescent="0.25">
      <c r="B5" t="e">
        <f>(VLOOKUP(Calcs!$A5,'Surety Calculations Form'!$A$48:$H$204,2,FALSE))</f>
        <v>#N/A</v>
      </c>
    </row>
    <row r="6" spans="1:2" x14ac:dyDescent="0.25">
      <c r="B6" t="e">
        <f>(VLOOKUP(Calcs!$A6,'Surety Calculations Form'!$A$48:$H$204,2,FALSE))</f>
        <v>#N/A</v>
      </c>
    </row>
    <row r="7" spans="1:2" x14ac:dyDescent="0.25">
      <c r="B7" t="e">
        <f>(VLOOKUP(Calcs!$A7,'Surety Calculations Form'!$A$48:$H$204,2,FALSE))</f>
        <v>#N/A</v>
      </c>
    </row>
    <row r="8" spans="1:2" x14ac:dyDescent="0.25">
      <c r="B8" t="e">
        <f>(VLOOKUP(Calcs!$A8,'Surety Calculations Form'!$A$48:$H$204,2,FALSE))</f>
        <v>#N/A</v>
      </c>
    </row>
    <row r="9" spans="1:2" x14ac:dyDescent="0.25">
      <c r="B9" t="e">
        <f>(VLOOKUP(Calcs!$A9,'Surety Calculations Form'!$A$48:$H$204,2,FALSE))</f>
        <v>#N/A</v>
      </c>
    </row>
    <row r="10" spans="1:2" x14ac:dyDescent="0.25">
      <c r="B10" t="e">
        <f>(VLOOKUP(Calcs!$A10,'Surety Calculations Form'!$A$48:$H$204,2,FALSE))</f>
        <v>#N/A</v>
      </c>
    </row>
    <row r="11" spans="1:2" x14ac:dyDescent="0.25">
      <c r="B11" t="e">
        <f>(VLOOKUP(Calcs!$A11,'Surety Calculations Form'!$A$48:$H$204,2,FALSE))</f>
        <v>#N/A</v>
      </c>
    </row>
    <row r="12" spans="1:2" x14ac:dyDescent="0.25">
      <c r="B12" t="e">
        <f>(VLOOKUP(Calcs!$A12,'Surety Calculations Form'!$A$48:$H$204,2,FALSE))</f>
        <v>#N/A</v>
      </c>
    </row>
    <row r="13" spans="1:2" x14ac:dyDescent="0.25">
      <c r="B13" t="e">
        <f>(VLOOKUP(Calcs!$A13,'Surety Calculations Form'!$A$48:$H$204,2,FALSE))</f>
        <v>#N/A</v>
      </c>
    </row>
    <row r="14" spans="1:2" x14ac:dyDescent="0.25">
      <c r="B14" t="e">
        <f>(VLOOKUP(Calcs!$A14,'Surety Calculations Form'!$A$48:$H$204,2,FALSE))</f>
        <v>#N/A</v>
      </c>
    </row>
    <row r="15" spans="1:2" x14ac:dyDescent="0.25">
      <c r="B15" t="e">
        <f>(VLOOKUP(Calcs!$A15,'Surety Calculations Form'!$A$48:$H$204,2,FALSE))</f>
        <v>#N/A</v>
      </c>
    </row>
    <row r="16" spans="1:2" x14ac:dyDescent="0.25">
      <c r="B16" t="e">
        <f>(VLOOKUP(Calcs!$A16,'Surety Calculations Form'!$A$48:$H$204,2,FALSE))</f>
        <v>#N/A</v>
      </c>
    </row>
    <row r="17" spans="2:2" x14ac:dyDescent="0.25">
      <c r="B17" t="e">
        <f>(VLOOKUP(Calcs!$A17,'Surety Calculations Form'!$A$48:$H$204,2,FALSE))</f>
        <v>#N/A</v>
      </c>
    </row>
    <row r="18" spans="2:2" x14ac:dyDescent="0.25">
      <c r="B18" t="e">
        <f>(VLOOKUP(Calcs!$A18,'Surety Calculations Form'!$A$48:$H$204,2,FALSE))</f>
        <v>#N/A</v>
      </c>
    </row>
    <row r="19" spans="2:2" x14ac:dyDescent="0.25">
      <c r="B19" t="e">
        <f>(VLOOKUP(Calcs!$A19,'Surety Calculations Form'!$A$48:$H$204,2,FALSE))</f>
        <v>#N/A</v>
      </c>
    </row>
    <row r="20" spans="2:2" x14ac:dyDescent="0.25">
      <c r="B20" t="e">
        <f>(VLOOKUP(Calcs!$A20,'Surety Calculations Form'!$A$48:$H$204,2,FALSE))</f>
        <v>#N/A</v>
      </c>
    </row>
    <row r="21" spans="2:2" x14ac:dyDescent="0.25">
      <c r="B21" t="e">
        <f>(VLOOKUP(Calcs!$A21,'Surety Calculations Form'!$A$48:$H$204,2,FALSE))</f>
        <v>#N/A</v>
      </c>
    </row>
    <row r="22" spans="2:2" x14ac:dyDescent="0.25">
      <c r="B22" t="e">
        <f>(VLOOKUP(Calcs!$A22,'Surety Calculations Form'!$A$48:$H$204,2,FALSE))</f>
        <v>#N/A</v>
      </c>
    </row>
    <row r="23" spans="2:2" x14ac:dyDescent="0.25">
      <c r="B23" t="e">
        <f>(VLOOKUP(Calcs!$A23,'Surety Calculations Form'!$A$48:$H$204,2,FALSE))</f>
        <v>#N/A</v>
      </c>
    </row>
    <row r="24" spans="2:2" x14ac:dyDescent="0.25">
      <c r="B24" t="e">
        <f>(VLOOKUP(Calcs!$A24,'Surety Calculations Form'!$A$48:$H$204,2,FALSE))</f>
        <v>#N/A</v>
      </c>
    </row>
    <row r="25" spans="2:2" x14ac:dyDescent="0.25">
      <c r="B25" t="e">
        <f>(VLOOKUP(Calcs!$A25,'Surety Calculations Form'!$A$48:$H$204,2,FALSE))</f>
        <v>#N/A</v>
      </c>
    </row>
    <row r="26" spans="2:2" x14ac:dyDescent="0.25">
      <c r="B26" t="e">
        <f>(VLOOKUP(Calcs!$A26,'Surety Calculations Form'!$A$48:$H$204,2,FALSE))</f>
        <v>#N/A</v>
      </c>
    </row>
    <row r="27" spans="2:2" x14ac:dyDescent="0.25">
      <c r="B27" t="e">
        <f>(VLOOKUP(Calcs!$A27,'Surety Calculations Form'!$A$48:$H$204,2,FALSE))</f>
        <v>#N/A</v>
      </c>
    </row>
    <row r="28" spans="2:2" x14ac:dyDescent="0.25">
      <c r="B28" t="e">
        <f>(VLOOKUP(Calcs!$A28,'Surety Calculations Form'!$A$48:$H$204,2,FALSE))</f>
        <v>#N/A</v>
      </c>
    </row>
    <row r="29" spans="2:2" x14ac:dyDescent="0.25">
      <c r="B29" t="e">
        <f>(VLOOKUP(Calcs!$A29,'Surety Calculations Form'!$A$48:$H$204,2,FALSE))</f>
        <v>#N/A</v>
      </c>
    </row>
    <row r="30" spans="2:2" x14ac:dyDescent="0.25">
      <c r="B30" t="e">
        <f>(VLOOKUP(Calcs!$A30,'Surety Calculations Form'!$A$48:$H$204,2,FALSE))</f>
        <v>#N/A</v>
      </c>
    </row>
    <row r="31" spans="2:2" x14ac:dyDescent="0.25">
      <c r="B31" t="e">
        <f>(VLOOKUP(Calcs!$A31,'Surety Calculations Form'!$A$48:$H$204,2,FALSE))</f>
        <v>#N/A</v>
      </c>
    </row>
    <row r="32" spans="2:2" x14ac:dyDescent="0.25">
      <c r="B32" t="e">
        <f>(VLOOKUP(Calcs!$A32,'Surety Calculations Form'!$A$48:$H$204,2,FALSE))</f>
        <v>#N/A</v>
      </c>
    </row>
    <row r="33" spans="2:4" x14ac:dyDescent="0.25">
      <c r="B33" t="e">
        <f>(VLOOKUP(Calcs!$A33,'Surety Calculations Form'!$A$48:$H$204,2,FALSE))</f>
        <v>#N/A</v>
      </c>
      <c r="D33" t="str">
        <f t="array" ref="D33">IFERROR(INDEX('Surety Calculations Form'!A78:A228,SMALL(IF(NOT(ISBLANK('Surety Calculations Form'!A78:A228)),ROW('Surety Calculations Form'!A78:A228),""),ROW(A77))),"")</f>
        <v/>
      </c>
    </row>
    <row r="34" spans="2:4" x14ac:dyDescent="0.25">
      <c r="B34" t="e">
        <f>(VLOOKUP(Calcs!$A34,'Surety Calculations Form'!$A$48:$H$204,2,FALSE))</f>
        <v>#N/A</v>
      </c>
    </row>
    <row r="35" spans="2:4" x14ac:dyDescent="0.25">
      <c r="B35" t="e">
        <f>(VLOOKUP(Calcs!$A35,'Surety Calculations Form'!$A$48:$H$204,2,FALSE))</f>
        <v>#N/A</v>
      </c>
    </row>
    <row r="36" spans="2:4" x14ac:dyDescent="0.25">
      <c r="B36" t="e">
        <f>(VLOOKUP(Calcs!$A36,'Surety Calculations Form'!$A$48:$H$204,2,FALSE))</f>
        <v>#N/A</v>
      </c>
    </row>
    <row r="37" spans="2:4" x14ac:dyDescent="0.25">
      <c r="B37" t="e">
        <f>(VLOOKUP(Calcs!$A37,'Surety Calculations Form'!$A$48:$H$204,2,FALSE))</f>
        <v>#N/A</v>
      </c>
    </row>
    <row r="38" spans="2:4" x14ac:dyDescent="0.25">
      <c r="B38" t="e">
        <f>(VLOOKUP(Calcs!$A38,'Surety Calculations Form'!$A$48:$H$204,2,FALSE))</f>
        <v>#N/A</v>
      </c>
    </row>
    <row r="39" spans="2:4" x14ac:dyDescent="0.25">
      <c r="B39" t="e">
        <f>(VLOOKUP(Calcs!$A39,'Surety Calculations Form'!$A$48:$H$204,2,FALSE))</f>
        <v>#N/A</v>
      </c>
    </row>
    <row r="40" spans="2:4" x14ac:dyDescent="0.25">
      <c r="B40" t="e">
        <f>(VLOOKUP(Calcs!$A40,'Surety Calculations Form'!$A$48:$H$204,2,FALSE))</f>
        <v>#N/A</v>
      </c>
    </row>
    <row r="41" spans="2:4" x14ac:dyDescent="0.25">
      <c r="B41" t="e">
        <f>(VLOOKUP(Calcs!$A41,'Surety Calculations Form'!$A$48:$H$204,2,FALSE))</f>
        <v>#N/A</v>
      </c>
    </row>
    <row r="42" spans="2:4" x14ac:dyDescent="0.25">
      <c r="B42" t="e">
        <f>(VLOOKUP(Calcs!$A42,'Surety Calculations Form'!$A$48:$H$204,2,FALSE))</f>
        <v>#N/A</v>
      </c>
    </row>
    <row r="43" spans="2:4" x14ac:dyDescent="0.25">
      <c r="B43" t="e">
        <f>(VLOOKUP(Calcs!$A43,'Surety Calculations Form'!$A$48:$H$204,2,FALSE))</f>
        <v>#N/A</v>
      </c>
    </row>
    <row r="44" spans="2:4" x14ac:dyDescent="0.25">
      <c r="B44" t="e">
        <f>(VLOOKUP(Calcs!$A44,'Surety Calculations Form'!$A$48:$H$204,2,FALSE))</f>
        <v>#N/A</v>
      </c>
    </row>
    <row r="45" spans="2:4" x14ac:dyDescent="0.25">
      <c r="B45" t="e">
        <f>(VLOOKUP(Calcs!$A45,'Surety Calculations Form'!$A$48:$H$204,2,FALSE))</f>
        <v>#N/A</v>
      </c>
    </row>
    <row r="46" spans="2:4" x14ac:dyDescent="0.25">
      <c r="B46" t="e">
        <f>(VLOOKUP(Calcs!$A46,'Surety Calculations Form'!$A$48:$H$204,2,FALSE))</f>
        <v>#N/A</v>
      </c>
    </row>
    <row r="47" spans="2:4" x14ac:dyDescent="0.25">
      <c r="B47" t="e">
        <f>(VLOOKUP(Calcs!$A47,'Surety Calculations Form'!$A$48:$H$204,2,FALSE))</f>
        <v>#N/A</v>
      </c>
    </row>
    <row r="48" spans="2:4" x14ac:dyDescent="0.25">
      <c r="B48" t="e">
        <f>(VLOOKUP(Calcs!$A48,'Surety Calculations Form'!$A$48:$H$204,2,FALSE))</f>
        <v>#N/A</v>
      </c>
    </row>
    <row r="49" spans="2:2" x14ac:dyDescent="0.25">
      <c r="B49" t="e">
        <f>(VLOOKUP(Calcs!$A49,'Surety Calculations Form'!$A$48:$H$204,2,FALSE))</f>
        <v>#N/A</v>
      </c>
    </row>
    <row r="50" spans="2:2" x14ac:dyDescent="0.25">
      <c r="B50" t="e">
        <f>(VLOOKUP(Calcs!$A50,'Surety Calculations Form'!$A$48:$H$204,2,FALSE))</f>
        <v>#N/A</v>
      </c>
    </row>
    <row r="51" spans="2:2" x14ac:dyDescent="0.25">
      <c r="B51" t="e">
        <f>(VLOOKUP(Calcs!$A51,'Surety Calculations Form'!$A$48:$H$204,2,FALSE))</f>
        <v>#N/A</v>
      </c>
    </row>
    <row r="52" spans="2:2" x14ac:dyDescent="0.25">
      <c r="B52" t="e">
        <f>(VLOOKUP(Calcs!$A52,'Surety Calculations Form'!$A$48:$H$204,2,FALSE))</f>
        <v>#N/A</v>
      </c>
    </row>
    <row r="53" spans="2:2" x14ac:dyDescent="0.25">
      <c r="B53" t="e">
        <f>(VLOOKUP(Calcs!$A53,'Surety Calculations Form'!$A$48:$H$204,2,FALSE))</f>
        <v>#N/A</v>
      </c>
    </row>
    <row r="54" spans="2:2" x14ac:dyDescent="0.25">
      <c r="B54" t="e">
        <f>(VLOOKUP(Calcs!$A54,'Surety Calculations Form'!$A$48:$H$204,2,FALSE))</f>
        <v>#N/A</v>
      </c>
    </row>
    <row r="55" spans="2:2" x14ac:dyDescent="0.25">
      <c r="B55" t="e">
        <f>(VLOOKUP(Calcs!$A55,'Surety Calculations Form'!$A$48:$H$204,2,FALSE))</f>
        <v>#N/A</v>
      </c>
    </row>
    <row r="56" spans="2:2" x14ac:dyDescent="0.25">
      <c r="B56" t="e">
        <f>(VLOOKUP(Calcs!$A56,'Surety Calculations Form'!$A$48:$H$204,2,FALSE))</f>
        <v>#N/A</v>
      </c>
    </row>
    <row r="57" spans="2:2" x14ac:dyDescent="0.25">
      <c r="B57" t="e">
        <f>(VLOOKUP(Calcs!$A57,'Surety Calculations Form'!$A$48:$H$204,2,FALSE))</f>
        <v>#N/A</v>
      </c>
    </row>
    <row r="58" spans="2:2" x14ac:dyDescent="0.25">
      <c r="B58" t="e">
        <f>(VLOOKUP(Calcs!$A58,'Surety Calculations Form'!$A$48:$H$204,2,FALSE))</f>
        <v>#N/A</v>
      </c>
    </row>
    <row r="59" spans="2:2" x14ac:dyDescent="0.25">
      <c r="B59" t="e">
        <f>(VLOOKUP(Calcs!$A59,'Surety Calculations Form'!$A$48:$H$204,2,FALSE))</f>
        <v>#N/A</v>
      </c>
    </row>
    <row r="60" spans="2:2" x14ac:dyDescent="0.25">
      <c r="B60" t="e">
        <f>(VLOOKUP(Calcs!$A60,'Surety Calculations Form'!$A$48:$H$204,2,FALSE))</f>
        <v>#N/A</v>
      </c>
    </row>
    <row r="61" spans="2:2" x14ac:dyDescent="0.25">
      <c r="B61" t="e">
        <f>(VLOOKUP(Calcs!$A61,'Surety Calculations Form'!$A$48:$H$204,2,FALSE))</f>
        <v>#N/A</v>
      </c>
    </row>
    <row r="62" spans="2:2" x14ac:dyDescent="0.25">
      <c r="B62" t="e">
        <f>(VLOOKUP(Calcs!$A62,'Surety Calculations Form'!$A$48:$H$204,2,FALSE))</f>
        <v>#N/A</v>
      </c>
    </row>
    <row r="63" spans="2:2" x14ac:dyDescent="0.25">
      <c r="B63" t="e">
        <f>(VLOOKUP(Calcs!$A63,'Surety Calculations Form'!$A$48:$H$204,2,FALSE))</f>
        <v>#N/A</v>
      </c>
    </row>
    <row r="64" spans="2:2" x14ac:dyDescent="0.25">
      <c r="B64" t="e">
        <f>(VLOOKUP(Calcs!$A64,'Surety Calculations Form'!$A$48:$H$204,2,FALSE))</f>
        <v>#N/A</v>
      </c>
    </row>
    <row r="65" spans="2:2" x14ac:dyDescent="0.25">
      <c r="B65" t="e">
        <f>(VLOOKUP(Calcs!$A65,'Surety Calculations Form'!$A$48:$H$204,2,FALSE))</f>
        <v>#N/A</v>
      </c>
    </row>
    <row r="66" spans="2:2" x14ac:dyDescent="0.25">
      <c r="B66" t="e">
        <f>(VLOOKUP(Calcs!$A66,'Surety Calculations Form'!$A$48:$H$204,2,FALSE))</f>
        <v>#N/A</v>
      </c>
    </row>
    <row r="67" spans="2:2" x14ac:dyDescent="0.25">
      <c r="B67" t="e">
        <f>(VLOOKUP(Calcs!$A67,'Surety Calculations Form'!$A$48:$H$204,2,FALSE))</f>
        <v>#N/A</v>
      </c>
    </row>
    <row r="68" spans="2:2" x14ac:dyDescent="0.25">
      <c r="B68" t="e">
        <f>(VLOOKUP(Calcs!$A68,'Surety Calculations Form'!$A$48:$H$204,2,FALSE))</f>
        <v>#N/A</v>
      </c>
    </row>
    <row r="69" spans="2:2" x14ac:dyDescent="0.25">
      <c r="B69" t="e">
        <f>(VLOOKUP(Calcs!$A69,'Surety Calculations Form'!$A$48:$H$204,2,FALSE))</f>
        <v>#N/A</v>
      </c>
    </row>
    <row r="70" spans="2:2" x14ac:dyDescent="0.25">
      <c r="B70" t="e">
        <f>(VLOOKUP(Calcs!$A70,'Surety Calculations Form'!$A$48:$H$204,2,FALSE))</f>
        <v>#N/A</v>
      </c>
    </row>
    <row r="71" spans="2:2" x14ac:dyDescent="0.25">
      <c r="B71" t="e">
        <f>(VLOOKUP(Calcs!$A71,'Surety Calculations Form'!$A$48:$H$204,2,FALSE))</f>
        <v>#N/A</v>
      </c>
    </row>
    <row r="72" spans="2:2" x14ac:dyDescent="0.25">
      <c r="B72" t="e">
        <f>(VLOOKUP(Calcs!$A72,'Surety Calculations Form'!$A$48:$H$204,2,FALSE))</f>
        <v>#N/A</v>
      </c>
    </row>
    <row r="73" spans="2:2" x14ac:dyDescent="0.25">
      <c r="B73" t="e">
        <f>(VLOOKUP(Calcs!$A73,'Surety Calculations Form'!$A$48:$H$204,2,FALSE))</f>
        <v>#N/A</v>
      </c>
    </row>
    <row r="74" spans="2:2" x14ac:dyDescent="0.25">
      <c r="B74" t="e">
        <f>(VLOOKUP(Calcs!$A74,'Surety Calculations Form'!$A$48:$H$204,2,FALSE))</f>
        <v>#N/A</v>
      </c>
    </row>
    <row r="75" spans="2:2" x14ac:dyDescent="0.25">
      <c r="B75" t="e">
        <f>(VLOOKUP(Calcs!$A75,'Surety Calculations Form'!$A$48:$H$204,2,FALSE))</f>
        <v>#N/A</v>
      </c>
    </row>
    <row r="76" spans="2:2" x14ac:dyDescent="0.25">
      <c r="B76" t="e">
        <f>(VLOOKUP(Calcs!$A76,'Surety Calculations Form'!$A$48:$H$204,2,FALSE))</f>
        <v>#N/A</v>
      </c>
    </row>
    <row r="77" spans="2:2" x14ac:dyDescent="0.25">
      <c r="B77" t="e">
        <f>(VLOOKUP(Calcs!$A77,'Surety Calculations Form'!$A$48:$H$204,2,FALSE))</f>
        <v>#N/A</v>
      </c>
    </row>
    <row r="78" spans="2:2" x14ac:dyDescent="0.25">
      <c r="B78" t="e">
        <f>(VLOOKUP(Calcs!$A78,'Surety Calculations Form'!$A$48:$H$204,2,FALSE))</f>
        <v>#N/A</v>
      </c>
    </row>
    <row r="79" spans="2:2" x14ac:dyDescent="0.25">
      <c r="B79" t="e">
        <f>(VLOOKUP(Calcs!$A79,'Surety Calculations Form'!$A$48:$H$204,2,FALSE))</f>
        <v>#N/A</v>
      </c>
    </row>
    <row r="80" spans="2:2" x14ac:dyDescent="0.25">
      <c r="B80" t="e">
        <f>(VLOOKUP(Calcs!$A80,'Surety Calculations Form'!$A$48:$H$204,2,FALSE))</f>
        <v>#N/A</v>
      </c>
    </row>
    <row r="81" spans="2:2" x14ac:dyDescent="0.25">
      <c r="B81" t="e">
        <f>(VLOOKUP(Calcs!$A81,'Surety Calculations Form'!$A$48:$H$204,2,FALSE))</f>
        <v>#N/A</v>
      </c>
    </row>
    <row r="82" spans="2:2" x14ac:dyDescent="0.25">
      <c r="B82" t="e">
        <f>(VLOOKUP(Calcs!$A82,'Surety Calculations Form'!$A$48:$H$204,2,FALSE))</f>
        <v>#N/A</v>
      </c>
    </row>
    <row r="83" spans="2:2" x14ac:dyDescent="0.25">
      <c r="B83" t="e">
        <f>(VLOOKUP(Calcs!$A83,'Surety Calculations Form'!$A$48:$H$204,2,FALSE))</f>
        <v>#N/A</v>
      </c>
    </row>
    <row r="84" spans="2:2" x14ac:dyDescent="0.25">
      <c r="B84" t="e">
        <f>(VLOOKUP(Calcs!$A84,'Surety Calculations Form'!$A$48:$H$204,2,FALSE))</f>
        <v>#N/A</v>
      </c>
    </row>
    <row r="85" spans="2:2" x14ac:dyDescent="0.25">
      <c r="B85" t="e">
        <f>(VLOOKUP(Calcs!$A85,'Surety Calculations Form'!$A$48:$H$204,2,FALSE))</f>
        <v>#N/A</v>
      </c>
    </row>
    <row r="86" spans="2:2" x14ac:dyDescent="0.25">
      <c r="B86" t="e">
        <f>(VLOOKUP(Calcs!$A86,'Surety Calculations Form'!$A$48:$H$204,2,FALSE))</f>
        <v>#N/A</v>
      </c>
    </row>
    <row r="87" spans="2:2" x14ac:dyDescent="0.25">
      <c r="B87" t="e">
        <f>(VLOOKUP(Calcs!$A87,'Surety Calculations Form'!$A$48:$H$204,2,FALSE))</f>
        <v>#N/A</v>
      </c>
    </row>
    <row r="88" spans="2:2" x14ac:dyDescent="0.25">
      <c r="B88" t="e">
        <f>(VLOOKUP(Calcs!$A88,'Surety Calculations Form'!$A$48:$H$204,2,FALSE))</f>
        <v>#N/A</v>
      </c>
    </row>
    <row r="89" spans="2:2" x14ac:dyDescent="0.25">
      <c r="B89" t="e">
        <f>(VLOOKUP(Calcs!$A89,'Surety Calculations Form'!$A$48:$H$204,2,FALSE))</f>
        <v>#N/A</v>
      </c>
    </row>
    <row r="90" spans="2:2" x14ac:dyDescent="0.25">
      <c r="B90" t="e">
        <f>(VLOOKUP(Calcs!$A90,'Surety Calculations Form'!$A$48:$H$204,2,FALSE))</f>
        <v>#N/A</v>
      </c>
    </row>
    <row r="91" spans="2:2" x14ac:dyDescent="0.25">
      <c r="B91" t="e">
        <f>(VLOOKUP(Calcs!$A91,'Surety Calculations Form'!$A$48:$H$204,2,FALSE))</f>
        <v>#N/A</v>
      </c>
    </row>
    <row r="92" spans="2:2" x14ac:dyDescent="0.25">
      <c r="B92" t="e">
        <f>(VLOOKUP(Calcs!$A92,'Surety Calculations Form'!$A$48:$H$204,2,FALSE))</f>
        <v>#N/A</v>
      </c>
    </row>
    <row r="93" spans="2:2" x14ac:dyDescent="0.25">
      <c r="B93" t="e">
        <f>(VLOOKUP(Calcs!$A93,'Surety Calculations Form'!$A$48:$H$204,2,FALSE))</f>
        <v>#N/A</v>
      </c>
    </row>
    <row r="94" spans="2:2" x14ac:dyDescent="0.25">
      <c r="B94" t="e">
        <f>(VLOOKUP(Calcs!$A94,'Surety Calculations Form'!$A$48:$H$204,2,FALSE))</f>
        <v>#N/A</v>
      </c>
    </row>
    <row r="95" spans="2:2" x14ac:dyDescent="0.25">
      <c r="B95" t="e">
        <f>(VLOOKUP(Calcs!$A95,'Surety Calculations Form'!$A$48:$H$204,2,FALSE))</f>
        <v>#N/A</v>
      </c>
    </row>
    <row r="96" spans="2:2" x14ac:dyDescent="0.25">
      <c r="B96" t="e">
        <f>(VLOOKUP(Calcs!$A96,'Surety Calculations Form'!$A$48:$H$204,2,FALSE))</f>
        <v>#N/A</v>
      </c>
    </row>
    <row r="97" spans="2:2" x14ac:dyDescent="0.25">
      <c r="B97" t="e">
        <f>(VLOOKUP(Calcs!$A97,'Surety Calculations Form'!$A$48:$H$204,2,FALSE))</f>
        <v>#N/A</v>
      </c>
    </row>
    <row r="98" spans="2:2" x14ac:dyDescent="0.25">
      <c r="B98" t="e">
        <f>(VLOOKUP(Calcs!$A98,'Surety Calculations Form'!$A$48:$H$204,2,FALSE))</f>
        <v>#N/A</v>
      </c>
    </row>
    <row r="99" spans="2:2" x14ac:dyDescent="0.25">
      <c r="B99" t="e">
        <f>(VLOOKUP(Calcs!$A99,'Surety Calculations Form'!$A$48:$H$204,2,FALSE))</f>
        <v>#N/A</v>
      </c>
    </row>
    <row r="100" spans="2:2" x14ac:dyDescent="0.25">
      <c r="B100" t="e">
        <f>(VLOOKUP(Calcs!$A100,'Surety Calculations Form'!$A$48:$H$204,2,FALSE))</f>
        <v>#N/A</v>
      </c>
    </row>
    <row r="101" spans="2:2" x14ac:dyDescent="0.25">
      <c r="B101" t="e">
        <f>(VLOOKUP(Calcs!$A101,'Surety Calculations Form'!$A$48:$H$204,2,FALSE))</f>
        <v>#N/A</v>
      </c>
    </row>
    <row r="102" spans="2:2" x14ac:dyDescent="0.25">
      <c r="B102" t="e">
        <f>(VLOOKUP(Calcs!$A102,'Surety Calculations Form'!$A$48:$H$204,2,FALSE))</f>
        <v>#N/A</v>
      </c>
    </row>
    <row r="103" spans="2:2" x14ac:dyDescent="0.25">
      <c r="B103" t="e">
        <f>(VLOOKUP(Calcs!$A103,'Surety Calculations Form'!$A$48:$H$204,2,FALSE))</f>
        <v>#N/A</v>
      </c>
    </row>
    <row r="104" spans="2:2" x14ac:dyDescent="0.25">
      <c r="B104" t="e">
        <f>(VLOOKUP(Calcs!$A104,'Surety Calculations Form'!$A$48:$H$204,2,FALSE))</f>
        <v>#N/A</v>
      </c>
    </row>
    <row r="105" spans="2:2" x14ac:dyDescent="0.25">
      <c r="B105" t="e">
        <f>(VLOOKUP(Calcs!$A105,'Surety Calculations Form'!$A$48:$H$204,2,FALSE))</f>
        <v>#N/A</v>
      </c>
    </row>
    <row r="106" spans="2:2" x14ac:dyDescent="0.25">
      <c r="B106" t="e">
        <f>(VLOOKUP(Calcs!$A106,'Surety Calculations Form'!$A$48:$H$204,2,FALSE))</f>
        <v>#N/A</v>
      </c>
    </row>
    <row r="107" spans="2:2" x14ac:dyDescent="0.25">
      <c r="B107" t="e">
        <f>(VLOOKUP(Calcs!$A107,'Surety Calculations Form'!$A$48:$H$204,2,FALSE))</f>
        <v>#N/A</v>
      </c>
    </row>
    <row r="108" spans="2:2" x14ac:dyDescent="0.25">
      <c r="B108" t="e">
        <f>(VLOOKUP(Calcs!$A108,'Surety Calculations Form'!$A$48:$H$204,2,FALSE))</f>
        <v>#N/A</v>
      </c>
    </row>
    <row r="109" spans="2:2" x14ac:dyDescent="0.25">
      <c r="B109" t="e">
        <f>(VLOOKUP(Calcs!$A109,'Surety Calculations Form'!$A$48:$H$204,2,FALSE))</f>
        <v>#N/A</v>
      </c>
    </row>
    <row r="110" spans="2:2" x14ac:dyDescent="0.25">
      <c r="B110" t="e">
        <f>(VLOOKUP(Calcs!$A110,'Surety Calculations Form'!$A$48:$H$204,2,FALSE))</f>
        <v>#N/A</v>
      </c>
    </row>
  </sheetData>
  <sheetProtection algorithmName="SHA-512" hashValue="j3jvo5OybvzgjMZnqJQ18dyEgsMNIkmOyUJBCrm2HyfQKu3SlKvpOsONcxDfodLE3HTAuNqxH0EDnfzvBrm62w==" saltValue="WqN3JZQ6XJIUT6eD/ec/rA==" spinCount="100000" sheet="1" objects="1" scenarios="1" selectLockedCells="1" selectUnlockedCell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BA9567C358D6F4B934FAD7ECF0AA667" ma:contentTypeVersion="13" ma:contentTypeDescription="Create a new document." ma:contentTypeScope="" ma:versionID="673bab65d93f30753b6107ef99cbda7d">
  <xsd:schema xmlns:xsd="http://www.w3.org/2001/XMLSchema" xmlns:xs="http://www.w3.org/2001/XMLSchema" xmlns:p="http://schemas.microsoft.com/office/2006/metadata/properties" xmlns:ns2="128c1f7a-e5b8-4f14-aa5e-1cca2b720122" xmlns:ns3="a7d6554d-83f8-4db0-989f-2a9da536ed13" targetNamespace="http://schemas.microsoft.com/office/2006/metadata/properties" ma:root="true" ma:fieldsID="8c1b05cfd0617e3aac8c7771a78bce89" ns2:_="" ns3:_="">
    <xsd:import namespace="128c1f7a-e5b8-4f14-aa5e-1cca2b720122"/>
    <xsd:import namespace="a7d6554d-83f8-4db0-989f-2a9da536ed1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Location" minOccurs="0"/>
                <xsd:element ref="ns3:MediaServiceOCR" minOccurs="0"/>
                <xsd:element ref="ns3:MediaLengthInSecond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8c1f7a-e5b8-4f14-aa5e-1cca2b72012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7d6554d-83f8-4db0-989f-2a9da536ed1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128c1f7a-e5b8-4f14-aa5e-1cca2b720122">
      <UserInfo>
        <DisplayName>Lance Fittro</DisplayName>
        <AccountId>24</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6466D2-C407-4387-B2CD-67170FF8D9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8c1f7a-e5b8-4f14-aa5e-1cca2b720122"/>
    <ds:schemaRef ds:uri="a7d6554d-83f8-4db0-989f-2a9da536ed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9F1938-F877-4525-834F-1BA4F9365334}">
  <ds:schemaRefs>
    <ds:schemaRef ds:uri="http://schemas.microsoft.com/office/2006/metadata/properties"/>
    <ds:schemaRef ds:uri="http://schemas.microsoft.com/office/infopath/2007/PartnerControls"/>
    <ds:schemaRef ds:uri="128c1f7a-e5b8-4f14-aa5e-1cca2b720122"/>
  </ds:schemaRefs>
</ds:datastoreItem>
</file>

<file path=customXml/itemProps3.xml><?xml version="1.0" encoding="utf-8"?>
<ds:datastoreItem xmlns:ds="http://schemas.openxmlformats.org/officeDocument/2006/customXml" ds:itemID="{C3021F6F-63FC-419C-9269-403B87DB28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Surety Calculations Form</vt:lpstr>
      <vt:lpstr>Summary Sheet</vt:lpstr>
      <vt:lpstr>Calcs</vt:lpstr>
      <vt:lpstr>'Surety Calculations Form'!Print_Area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Kevin Long</dc:creator>
  <cp:keywords/>
  <dc:description/>
  <cp:lastModifiedBy>Kevin Long</cp:lastModifiedBy>
  <cp:revision/>
  <cp:lastPrinted>2024-11-20T16:46:13Z</cp:lastPrinted>
  <dcterms:created xsi:type="dcterms:W3CDTF">2022-11-01T14:00:16Z</dcterms:created>
  <dcterms:modified xsi:type="dcterms:W3CDTF">2025-01-14T21:35:43Z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0x0101003BA9567C358D6F4B934FAD7ECF0AA667</vt:lpwstr>
  </property>
</Properties>
</file>